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64011"/>
  <mc:AlternateContent xmlns:mc="http://schemas.openxmlformats.org/markup-compatibility/2006">
    <mc:Choice Requires="x15">
      <x15ac:absPath xmlns:x15ac="http://schemas.microsoft.com/office/spreadsheetml/2010/11/ac" url="D:\Inventarisatie 2017 publiceerbaar\Provincie\"/>
    </mc:Choice>
  </mc:AlternateContent>
  <bookViews>
    <workbookView xWindow="0" yWindow="0" windowWidth="19200" windowHeight="6950"/>
  </bookViews>
  <sheets>
    <sheet name="data.overheid.nl dataset" sheetId="1" r:id="rId1"/>
  </sheets>
  <definedNames>
    <definedName name="_xlnm._FilterDatabase" localSheetId="0" hidden="1">'data.overheid.nl dataset'!$A$5:$Q$382</definedName>
    <definedName name="_xlnm.Print_Area" localSheetId="0">#REF!</definedName>
    <definedName name="_xlnm.Sheet_Title" localSheetId="0">"data.overheid.nl dataset"</definedName>
  </definedNames>
  <calcPr calcId="171027"/>
</workbook>
</file>

<file path=xl/calcChain.xml><?xml version="1.0" encoding="utf-8"?>
<calcChain xmlns="http://schemas.openxmlformats.org/spreadsheetml/2006/main">
  <c r="C59" i="1" l="1"/>
  <c r="C60" i="1"/>
  <c r="C61" i="1"/>
  <c r="C62" i="1"/>
  <c r="C63" i="1"/>
  <c r="C64" i="1"/>
  <c r="C65" i="1"/>
  <c r="C66" i="1"/>
  <c r="C67" i="1"/>
  <c r="C68" i="1"/>
  <c r="C69" i="1"/>
  <c r="C70" i="1"/>
  <c r="C6" i="1"/>
  <c r="C7" i="1"/>
  <c r="C71" i="1"/>
  <c r="C8" i="1"/>
  <c r="C72" i="1"/>
  <c r="C9" i="1"/>
  <c r="C10" i="1"/>
  <c r="C73" i="1"/>
  <c r="C11" i="1"/>
  <c r="C74" i="1"/>
  <c r="C12" i="1"/>
  <c r="C75" i="1"/>
  <c r="C13" i="1"/>
  <c r="C76" i="1"/>
  <c r="C77" i="1"/>
  <c r="C78" i="1"/>
  <c r="C79" i="1"/>
  <c r="C80" i="1"/>
  <c r="C81" i="1"/>
  <c r="C82" i="1"/>
  <c r="C83" i="1"/>
  <c r="C84" i="1"/>
  <c r="C14" i="1"/>
  <c r="C85" i="1"/>
  <c r="C86" i="1"/>
  <c r="C87" i="1"/>
  <c r="C15"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6" i="1"/>
  <c r="C121" i="1"/>
  <c r="C122" i="1"/>
  <c r="C123" i="1"/>
  <c r="C124" i="1"/>
  <c r="C125" i="1"/>
  <c r="C126" i="1"/>
  <c r="C127" i="1"/>
  <c r="C128" i="1"/>
  <c r="C129" i="1"/>
  <c r="C130" i="1"/>
  <c r="C131" i="1"/>
  <c r="C132" i="1"/>
  <c r="C133" i="1"/>
  <c r="C134" i="1"/>
  <c r="C17" i="1"/>
  <c r="C135" i="1"/>
  <c r="C136" i="1"/>
  <c r="C137" i="1"/>
  <c r="C138" i="1"/>
  <c r="C139" i="1"/>
  <c r="C140" i="1"/>
  <c r="C18" i="1"/>
  <c r="C141" i="1"/>
  <c r="C142" i="1"/>
  <c r="C143" i="1"/>
  <c r="C144" i="1"/>
  <c r="C19" i="1"/>
  <c r="C145" i="1"/>
  <c r="C146" i="1"/>
  <c r="C147" i="1"/>
  <c r="C148" i="1"/>
  <c r="C149" i="1"/>
  <c r="C20" i="1"/>
  <c r="C150" i="1"/>
  <c r="C151" i="1"/>
  <c r="C152" i="1"/>
  <c r="C153" i="1"/>
  <c r="C154" i="1"/>
  <c r="C155" i="1"/>
  <c r="C156" i="1"/>
  <c r="C157" i="1"/>
  <c r="C158" i="1"/>
  <c r="C159" i="1"/>
  <c r="C160" i="1"/>
  <c r="C161" i="1"/>
  <c r="C162" i="1"/>
  <c r="C163" i="1"/>
  <c r="C164" i="1"/>
  <c r="C165" i="1"/>
  <c r="C166" i="1"/>
  <c r="C167" i="1"/>
  <c r="C21" i="1"/>
  <c r="C22" i="1"/>
  <c r="C23" i="1"/>
  <c r="C24" i="1"/>
  <c r="C168" i="1"/>
  <c r="C169" i="1"/>
  <c r="C170" i="1"/>
  <c r="C171" i="1"/>
  <c r="C172" i="1"/>
  <c r="C173" i="1"/>
  <c r="C174" i="1"/>
  <c r="C175" i="1"/>
  <c r="C176" i="1"/>
  <c r="C25" i="1"/>
  <c r="C177" i="1"/>
  <c r="C178" i="1"/>
  <c r="C179" i="1"/>
  <c r="C180" i="1"/>
  <c r="C181" i="1"/>
  <c r="C182" i="1"/>
  <c r="C183" i="1"/>
  <c r="C26" i="1"/>
  <c r="C184" i="1"/>
  <c r="C185" i="1"/>
  <c r="C186" i="1"/>
  <c r="C187" i="1"/>
  <c r="C188" i="1"/>
  <c r="C189" i="1"/>
  <c r="C190" i="1"/>
  <c r="C191" i="1"/>
  <c r="C192" i="1"/>
  <c r="C193" i="1"/>
  <c r="C194" i="1"/>
  <c r="C195" i="1"/>
  <c r="C196" i="1"/>
  <c r="C197" i="1"/>
  <c r="C198" i="1"/>
  <c r="C199" i="1"/>
  <c r="C200" i="1"/>
  <c r="C201" i="1"/>
  <c r="C202" i="1"/>
  <c r="C203" i="1"/>
  <c r="C204" i="1"/>
  <c r="C205" i="1"/>
  <c r="C206" i="1"/>
  <c r="C27" i="1"/>
  <c r="C28" i="1"/>
  <c r="C207" i="1"/>
  <c r="C29" i="1"/>
  <c r="C30" i="1"/>
  <c r="C208" i="1"/>
  <c r="C209" i="1"/>
  <c r="C210" i="1"/>
  <c r="C211" i="1"/>
  <c r="C212" i="1"/>
  <c r="C213" i="1"/>
  <c r="C214" i="1"/>
  <c r="C215" i="1"/>
  <c r="C216" i="1"/>
  <c r="C217" i="1"/>
  <c r="C218" i="1"/>
  <c r="C219" i="1"/>
  <c r="C220" i="1"/>
  <c r="C221" i="1"/>
  <c r="C222" i="1"/>
  <c r="C223" i="1"/>
  <c r="C224" i="1"/>
  <c r="C31" i="1"/>
  <c r="C225" i="1"/>
  <c r="C32" i="1"/>
  <c r="C226" i="1"/>
  <c r="C227" i="1"/>
  <c r="C228" i="1"/>
  <c r="C229" i="1"/>
  <c r="C230" i="1"/>
  <c r="C231" i="1"/>
  <c r="C232" i="1"/>
  <c r="C233" i="1"/>
  <c r="C234" i="1"/>
  <c r="C235" i="1"/>
  <c r="C236" i="1"/>
  <c r="C237" i="1"/>
  <c r="C238" i="1"/>
  <c r="C239" i="1"/>
  <c r="C240" i="1"/>
  <c r="C241" i="1"/>
  <c r="C242" i="1"/>
  <c r="C243" i="1"/>
  <c r="C33" i="1"/>
  <c r="C244" i="1"/>
  <c r="C34" i="1"/>
  <c r="C245" i="1"/>
  <c r="C246" i="1"/>
  <c r="C247" i="1"/>
  <c r="C248" i="1"/>
  <c r="C249" i="1"/>
  <c r="C250" i="1"/>
  <c r="C251" i="1"/>
  <c r="C252" i="1"/>
  <c r="C253" i="1"/>
  <c r="C254" i="1"/>
  <c r="C255" i="1"/>
  <c r="C35" i="1"/>
  <c r="C256" i="1"/>
  <c r="C257" i="1"/>
  <c r="C258" i="1"/>
  <c r="C259" i="1"/>
  <c r="C260" i="1"/>
  <c r="C261" i="1"/>
  <c r="C36" i="1"/>
  <c r="C262" i="1"/>
  <c r="C37" i="1"/>
  <c r="C263" i="1"/>
  <c r="C264" i="1"/>
  <c r="C38" i="1"/>
  <c r="C265" i="1"/>
  <c r="C266" i="1"/>
  <c r="C267" i="1"/>
  <c r="C39" i="1"/>
  <c r="C40" i="1"/>
  <c r="C268" i="1"/>
  <c r="C269" i="1"/>
  <c r="C270" i="1"/>
  <c r="C271" i="1"/>
  <c r="C41" i="1"/>
  <c r="C42" i="1"/>
  <c r="C272" i="1"/>
  <c r="C43" i="1"/>
  <c r="C273" i="1"/>
  <c r="C274" i="1"/>
  <c r="C275" i="1"/>
  <c r="C276" i="1"/>
  <c r="C277" i="1"/>
  <c r="C44"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45" i="1"/>
  <c r="C46" i="1"/>
  <c r="C47" i="1"/>
  <c r="C48" i="1"/>
  <c r="C49" i="1"/>
  <c r="C50" i="1"/>
  <c r="C51" i="1"/>
  <c r="C52" i="1"/>
  <c r="C53" i="1"/>
  <c r="C337" i="1"/>
  <c r="C338" i="1"/>
  <c r="C339" i="1"/>
  <c r="C340" i="1"/>
  <c r="C341" i="1"/>
  <c r="C342" i="1"/>
  <c r="C343" i="1"/>
  <c r="C344" i="1"/>
  <c r="C54" i="1"/>
  <c r="C345" i="1"/>
  <c r="C346" i="1"/>
  <c r="C347" i="1"/>
  <c r="C348" i="1"/>
  <c r="C349" i="1"/>
  <c r="C350" i="1"/>
  <c r="C351" i="1"/>
  <c r="C352" i="1"/>
  <c r="C353" i="1"/>
  <c r="C354" i="1"/>
  <c r="C355" i="1"/>
  <c r="C356" i="1"/>
  <c r="C357" i="1"/>
  <c r="C358" i="1"/>
  <c r="C359" i="1"/>
  <c r="C360" i="1"/>
  <c r="C361" i="1"/>
  <c r="C362" i="1"/>
  <c r="C363" i="1"/>
  <c r="C55" i="1"/>
  <c r="C364" i="1"/>
  <c r="C56" i="1"/>
  <c r="C365" i="1"/>
  <c r="C366" i="1"/>
  <c r="C367" i="1"/>
  <c r="C368" i="1"/>
  <c r="C369" i="1"/>
  <c r="C370" i="1"/>
  <c r="C371" i="1"/>
  <c r="C372" i="1"/>
  <c r="C373" i="1"/>
  <c r="C374" i="1"/>
  <c r="C375" i="1"/>
  <c r="C376" i="1"/>
  <c r="C377" i="1"/>
  <c r="C378" i="1"/>
  <c r="C379" i="1"/>
  <c r="C380" i="1"/>
  <c r="C381" i="1"/>
  <c r="C382" i="1"/>
  <c r="C57" i="1"/>
  <c r="C58" i="1"/>
</calcChain>
</file>

<file path=xl/sharedStrings.xml><?xml version="1.0" encoding="utf-8"?>
<sst xmlns="http://schemas.openxmlformats.org/spreadsheetml/2006/main" count="4545" uniqueCount="374">
  <si>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</si>
  <si>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</si>
  <si>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</si>
  <si>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</si>
  <si>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</si>
  <si>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</si>
  <si>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</si>
  <si>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</si>
  <si>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</si>
  <si>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</si>
  <si>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</si>
  <si>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</si>
  <si>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</si>
  <si>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</si>
  <si>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</si>
  <si>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</si>
  <si>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</si>
  <si>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Utrecht</t>
  </si>
  <si>
    <t>GIS@provincie-utrecht.nl</t>
  </si>
  <si>
    <t/>
  </si>
  <si>
    <t>De voortgang per verdrogingsbestrijdingsproject, stand van zaken 2003</t>
  </si>
  <si>
    <t>Publiek Domein</t>
  </si>
  <si>
    <t>nl-NL</t>
  </si>
  <si>
    <t>groen</t>
  </si>
  <si>
    <t>beschikbaar</t>
  </si>
  <si>
    <t>Nee</t>
  </si>
  <si>
    <t>2017-01-23</t>
  </si>
  <si>
    <t>Hoofdtypen uit de bodemkaart</t>
  </si>
  <si>
    <t>Grondwatersystemen:deelgebieden met infiltratie-gebieden en daaraan gerelateerde kwelgebieden. Ingedeeld op basis van kenmerken, die de gevoeligheid voor stofgroepen bepalen. In kleur is het type systeem weergegeven.</t>
  </si>
  <si>
    <t>De dikte van de deklaag in meters. Bepaald is de dikte vanaf maaiveld tot aan een watervoerend pakket met een dikte groter dan 0m.</t>
  </si>
  <si>
    <t>Stroombanen geven inzicht in het grondwater-stromingspatroon</t>
  </si>
  <si>
    <t>Door Provinciale Staten vastgestelde gebieden waar grond met volledige schadeloosstelling kan worden verworven voor de realisatie van NNN. De actualisatie in 2016 is vastgesteld door Gedeputeerde Staten op 30 augustus.</t>
  </si>
  <si>
    <t>Het Utrechtse landschap is mooi, verrassend en veelzijdig. De diversiteit aan Utrechtse landschappen is groot: de extreme openheid van Eemland of de Lopikerwaard, de intimiteit van een boomgaard in de Kromme Rijn, een open plek middenin het bos van de Utrechtse Heuvelrug, een fort van de Nieuwe Hollandse Waterlinie, de overgang van de historische Grebbeberg naar het robuuste rivierenlandschap van Nederrijn en Lek, stiltegebieden. Een landschap is bovendien geen statisch plaatje; landschap is altijd in ontwikkeling en elk landschap heeft ruimte voor een vorm van dynamiek. Maar wel op zo’n manier dat de landschapskwaliteit wordt ontzien en liefst nog wordt versterkt. In het werken met landschapskwaliteit gaat de Provincie Utrecht uit van een samenspel tussen het beeld (wat zie je), functies (wat gebeurt er) en robuuste structuren (samenhang, relaties). Dat betekent dat de Provincie Utrecht niet alleen wil vastleggen wat de huidige landschapskwaliteit is, maar dat de Provincie Utrecht ook aan wil geven hoe deze de ruimtelijke ontwikkelingen kan sturen en welke kwalitatieve randvoorwaarden het landschap aan deze ontwikkelingen meegeeft. De provincie Utrecht kent zeven landschappen: - Eemland (grotendeels gelegen in het Nationaal Landschap Arkemheen-Eemland); - Gelderse Vallei; - Groene Hart (grotendeels gelegen in het Nationaal Landschap Groene Hart); - Rivierengebied (grotendeels gelegen in het Nationaal Landschap Rivierengebied); - Utrechtse Heuvelrug; - Nieuwe Hollandse Waterlinie (gelegen in het Nationaal Landschap Nieuwe Hollandse Waterlinie); - Stelling van Amsterdam (gelegen in het Nationaal Landschap Stelling van Amsterdam).</t>
  </si>
  <si>
    <t>Verblijfsrecreatiegebieden (bungalowparken, campings en jachthavens) en dagrecreatiegebieden (dierenparken) in de provincie Utrecht.</t>
  </si>
  <si>
    <t>Bestand bevat informatie over uitzicht langs de provinciale wegen.</t>
  </si>
  <si>
    <t>Tankstations waar groengas getankt kan worden</t>
  </si>
  <si>
    <t>Primaire en regionale waterkeringen (dijken) in de provincie Utrecht</t>
  </si>
  <si>
    <t>Dit is het verplichte grondwaterkwantiteitsmeetnet van de provincie Utrecht waarin de grondwaterstanden worden gemeten in de watervoerende pakketten in de ondergrond. Met deze informatie kan de grondwatersituatie in Utrecht in beeld worden gebracht.</t>
  </si>
  <si>
    <t>Digitale cultuurhistorische atlas van de Provincie Utrecht (CHAT), ontwikkeling van de bebouwing in de provincie Utrecht, bebouwingslint 1850.</t>
  </si>
  <si>
    <t>oranje</t>
  </si>
  <si>
    <t>Digitale cultuurhistorische atlas van de Provincie Utrecht (CHAT), ontwikkeling van de bebouwing in de provincie Utrecht van 1000 tot 2002.</t>
  </si>
  <si>
    <t>Locaties en functionaliteiten van de verkeersregelinstallaties op de provinciale wegen.
In augustus 2012 is de typering 'meetsysteem' toegevoegd.</t>
  </si>
  <si>
    <t>Alle bedrijventerreinen in de provincie Utrecht.</t>
  </si>
  <si>
    <t>Deze kaart vormt het uitgangspunt voor tactische en operationele maatregelen op het gebied van regionaal verkeersmanagement.De doorgaande snelwegen hebben een drieledige functie:het afwikkelen van doorgaand verkeer door de provincie Utrecht;het verbinden van de provincie Utrecht met de andere landsdelen;het verbinden van de diverse regio???s binnen de provincie.De regionale verbindingswegen verbinden de verschillende regio???s en grotere kernen binnen de provincie met het snelwegennet.De stedelijke verbindingswegen vormen de verdeelringen voor de steden Utrecht en Amersfoort.De stedelijke assen verbinden grotere wijken en stadsdelen met elkaar.De ondersteunende wegen hebben een zelfstandige functie als verbindings- of invalswegen, maar ook als wegen die (enige) overloopcapaciteit bieden bij congestie op parallelle routes.De beschermde wegen hebben weliswaar een zekere verbindende functie, maar zijn in principe niet geschikt om of bedoeld om extra verkeer te verwerken wanneer er op parallelle routes congestie optreedt.</t>
  </si>
  <si>
    <t>Landschappelijke waarden van kleine landschappelijke elementen (KLE; vlakken). Geïnventariseerd door Cor Zuidema.</t>
  </si>
  <si>
    <t>Landschappelijke waarden van kleine landschappelijke elementen (KLE; punten). Geïnventariseerd door Cor Zuidema.</t>
  </si>
  <si>
    <t>gis@provincie-utrecht.nl</t>
  </si>
  <si>
    <t>De dataset bevat de Lden geluidcontouren van de provinciale wegen van de Provincie Utrecht uit de 2e tranche EU-richtlijn omgevingslawaai (peiljaar 2011). Het betreft de wegen met jaarlijkse intensiteit &gt;= 3  motorvoertuigen.De geluidsbelastingkaarten zijn geldig voor peiljaar 2011 en geven alleen de berekeningen i.k.v. de EU-richtlijn omgevingslawaai voor de provinciale wegen van Utrecht weer.</t>
  </si>
  <si>
    <t>Digitale cultuurhistorische atlas van de Provincie Utrecht (CHAT), speerpunten cultuurhistorie. De bestaande ruimtelijke kwaliteit van de provincie Utrecht geeft richting aan de mogelijkheden en onmogelijkheden van ontwikkelingen. Dit speelt vooral in het landelijk gebied, maar heeft ook zijn weerslag op ontwikkelingen in het stedelijk gebied. Cultuurhistorische structuren lopen ook door stedelijk gebied en kernen liggen in landschappen wat op ontwikkelingen, zeker aan de rand van de kern, invloed heeft. De cultuurhistorische en archeologische waarden geven samen een beeld van de ontstaansgeschiedenis van de provincie Utrecht. Deze waarden dragen in hoge mate bij aan ruimtelijke kwaliteit en versterken het historisch besef van mensen. De Provincie wil eraan bijdragen dat deze waarden zoveel mogelijk behouden blijven en beleefd kunnen worden dankzij informatievoorziening en mogelijkheden voor gebruik en ontwikkeling. Met het ruimtelijk erfgoedbeleid wil de Provincie bijdragen aan het behouden, versterken en beleefbaar maken van cultuurhistorie in de provincie Utrecht. Dit resulteert in een strategie van enerzijds het veiligstellen van cultuurhistorische waarden en anderzijds het sturen van ruimtelijke ontwikkelingen vanuit de samenhangende cultuurhistorische kwaliteiten ter plaatse. Daarbij is ‘behoud door ontwikkeling’ het uitgangspunt. De Cultuurhistorische Hoofdstructuur (CHS) vormt de basis van dit beleid. Voor het borgen van het gehele palet aan cultuurhistorische waarden binnen de CHS maakt de Provincie gebruik van het overleg met gemeenten. Hierin zal de Provincie vooral focussen op gemeentelijke plannen voor grootschalige ruimtelijke ontwikkelingen. Binnen de CHS heeft de Provincie vier prioritaire thema’s geselecteerd waarop de Provincie actief beleid voert en die de Provincie borgt in de Provinciale Ruimtelijke Verordening: 1. historische buitenplaatsenzones; 2. militair erfgoed; 3. agrarisch cultuurlandschap; 4. archeologie.</t>
  </si>
  <si>
    <t>Geluidcontouren wegverkeer 2000 Onderzoek uitgevoerd door Witteveen &amp; Bos</t>
  </si>
  <si>
    <t>Geluidscontouren provinciale wegen 2000Onderzoek uitgevoerd door Witteveen &amp; Bos</t>
  </si>
  <si>
    <t>Geluidcontouren weg- en spoorverkeer 2000 Onderzoek uitgevoerd door Witteveen &amp; Bos</t>
  </si>
  <si>
    <t>In deze gebieden is het in principe niet meer toegestaan handelingen te verrichten of toe te laten, die de foerageer- en rustfunctie van het gebied voor beschermde ganzen negatief beïnvloeden. De gebieden geven rust en foerageerplaats voor de Grauwe gans en Kolgans in periode van 1 november tot 1 april en voor de Brandgans tot 1 mei.</t>
  </si>
  <si>
    <t>Dijkringen in Utrecht, met kans op overstroming: kans &lt; 1/10.000  1/jr, kans &lt; 1/4000  1/jr, kans &lt; 1/2000  1/jr, kans &lt; 1/1250  1/jr, water, hoge gronden, buitendijks</t>
  </si>
  <si>
    <t>Onderdeel van het Natuurbeheerplan is de begrenzing van toeslaggebieden. Deze objectklasse wordt gebruikt om aan te geven op welke gebieden een extra beheertoeslag kan worden aangevraagd. De toeslagen kunnen bestaan uit vaarland, en/of gescheperde schaapskuddes.</t>
  </si>
  <si>
    <t>De provincie Utrecht is opgedeeld in deelgebieden. Per deelgebied is in het natuurbeheerplan beschreven wat de ontstaansgeschiedenis is en wat de ambities zijn die wij willen bereiken.</t>
  </si>
  <si>
    <t>Het zoekgebied voor waterbeheerdiensten wordt weergegeven in de categoriewater, analoog aan de leefgebieden voor natuurdoelen. BeheertypenCategorie Water is per beheergebied van de verschillende waterschappenweergegeven waar waterbeheerdiensten kunnen worden ingezet om bovengenoemdedoelen te bereiken.</t>
  </si>
  <si>
    <t>In het Natuurbeheerplan provincie Utrecht 2017 staat de begrenzing van de beheertypen op basis van de Index Natuur en Landschap. In de ambitie laag is per gebied concreet aangegeven wat de ambitie is voor dat gebied.Wij hanteren hiervoor prioriteiten, deze prioriteiten dienen op basis van de tekst in het natuurbeheerplan bekeken te worden.</t>
  </si>
  <si>
    <t>In het Natuurbeheerplan provincie Utrecht 2017 staat de begrenzing van de beheertypen op basis van de Index Natuur en Landschap. Voor het onderdeel natuur is per gebied concreet aangegeven wat het beheertype is dat op dit moment in het veld aanwezig is.</t>
  </si>
  <si>
    <t>In het natuurbeheerplan provincie Utrecht 2017 is de begrenzing van natuurterreinen aangegeven. Voor elk type begrenzing gelden andere mogelijkheden. Kijk hiervoor in het natuurbeheerplan.</t>
  </si>
  <si>
    <t>Agrarisch natuurbeheer. Binnen de begrensde gebieden is subsidie voor (bepaalde vormen van) agrarisch natuurbeheer mogelijk.</t>
  </si>
  <si>
    <t>Vereenvoudigde versie van de bodemkaart.</t>
  </si>
  <si>
    <t>Recreatieschappen in de provincie Utrecht.</t>
  </si>
  <si>
    <t>Waardemeter forten Nieuwe Hollandse Waterlinie, opgenomen in het koersdocument Nieuwe Hollandse Waterlinie Utrecht.</t>
  </si>
  <si>
    <t>Nationaal Park Utrechtse Heuvelrug, inclusief uitbreiding. Goedgekeurd door GS op 3 september 2013 (809D13C)</t>
  </si>
  <si>
    <t>De belasting met PM10 (Jaargemiddelde PM10-concentratie in microgram/m3)  als gevolg van wegen  is vertaald naar GES (gezondheidseffectscreening)-klassen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</si>
  <si>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Plaatsgebonden Risicocontouren 10-6/jaar en zone invloedsgebied groepsrisico (200 meter vanaf de waterlijn) externe veiligheid als gevolg van gevaarlijk transport via vaarwegen zijn vertaald in GES (gezondheidseffectscreening) contouren. De gevoelige bestemmingen in de verschillende GES-contouren gelegen zijn in beeld gebracht. Doel is inzicht in knelpunten in de bestaande situatie en in de aanwezige risico’s bij nieuwe ontwikkelingen. Met dit inzicht kunnen keuzes onderbouwd worden.</t>
  </si>
  <si>
    <t>In het bestemmingsplan of zonebesluit vastgelegde zone rond het industrieterrein, waarbuiten de etmaalwaarde van de geluidsbelasting ten gevolge van het gezoneerde  industrieterrein niet meer dan 50 dB(A) mag bedragen. (Het bestemmingsplan wordt gemaakt door de gemeente. Zonebesluiten zijn in het verleden vastgesteld door de minister van VROM. De zonebeheerder toetst of bedrijven binnen de geluidzone passen.)De geluidbelasting als gevolg van bedrijven is vertaald naar GES (gezondheidseffectscreening)-klassen en op kaarten weergegeven. Doel is inzicht in knelpunten in de bestaande situatie en in de aanwezige risico’s bij nieuwe ontwikkelingen. Met dit inzicht kunnen keuzes onderbouwd worden.</t>
  </si>
  <si>
    <t>Plaatsgebonden risicocontouren 10-6/jaar en zone invloedsgebied groepsrisico (200 meter) als gevolg van buisleidingen voor transport van gevaarlijke stoffen zijn vertaald in GES (gezondheidseffectscreening) contouren.  De gevoelige bestemmingen  in de verschillende GES-contouren gelegen zijn in beeld gebracht. Doel is inzicht in knelpunten in de bestaande situatie en in de aanwezige risico’s bij nieuwe ontwikkelingen. Met dit inzicht kunnen keuzes onderbouwd worden.</t>
  </si>
  <si>
    <t>De plaatsgebonden risicocontouren 10-6,10-7,10-8 en zone invloedsgebied groepsrisico als gevolg van bedrijven met risicovolle activiteiten zijn vertaald in GES (gezondheidseffectscreening) contouren. De gevoelige bestemmingen in de verschillende GES-contouren gelegen zijn in beeld gebracht. Doel is inzicht in knelpunten in de bestaande situatie en in de aanwezige risico’s bij nieuwe ontwikkelingen. Met dit inzicht kunnen keuzes onderbouwd worden.</t>
  </si>
  <si>
    <t>Plaatsgebonden risicocontouren 10-6/jaar en zone invloedsgebied groepsrisico (200 meter) als gevolg van buisleidingen voor transport van gevaarlijke stoffen zijn vertaald in GES (gezondheidseffectscreening) contouren.  Alle woningen in de verschillende GES-contouren gelegen zijn,  in beeld gebracht. Doel is inzicht in knelpunten in de bestaande situatie en in de aanwezige risico’s bij nieuwe ontwikkelingen. Met dit inzicht kunnen keuzes onderbouwd worden.</t>
  </si>
  <si>
    <t>De belasting als gevolg van straling (Elektromagnetische veldsterkte in microTesla (µT)) van hoogspanningslijnen is vertaald naar GES (gezondheidseffectscreening)-contouren. Alle woningen in de verschillende GES-contouren gelegen zijn in beeld gebracht. Doel is inzicht in knelpunten in de bestaande situatie en in de aanwezige risico’s bij nieuwe ontwikkelingen. Met dit inzicht kunnen keuzes onderbouwd worden.</t>
  </si>
  <si>
    <t>Clusters (omtreklijn) gebasseerd op woningen binnen geluidzone van 50 dB(A) Letmaal van gezoneerde industrieterreinen en de woningen met een Hogere Grenswaarde of een Maximaal Toelaatbare Geluidsbelasting (MTG) geluid bedrijven. Per cluster zijn de aantallen woningen en gevoelige bestemmingen per GES-score geteld. Bij de gevoelige bestemmingen is onderscheid gemaakt in 3 categorien: Ziekenhuizen, Scholen en dagverblijven voor jeugd, Verpleeg en verzorgingshuizen.</t>
  </si>
  <si>
    <t>De belasting als gevolg van straling (Elektromagnetische veldsterkte in microTesla (µT)) van hoogspanningslijnen is vertaald naar GES (gezondheidseffectscreening)-contouren. De gevoelige bestemmingen in de verschillende GES-contouren gelegen zijn in beeld gebracht. Doel is inzicht in knelpunten in de bestaande situatie en in de aanwezige risico’s bij nieuwe ontwikkelingen. Met dit inzicht kunnen keuzes onderbouwd worden.</t>
  </si>
  <si>
    <t>De geluidsbelasting (geluidsbelasting_2009_Lden) afkomstig van provinciale wegen is vertaald in GES (gezondheidseffectscreening) contouren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</si>
  <si>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Clusters (omtreklijn) van woningen binnen Plaatsgebonden Risicocontouren 10-6/jaar en zone invloedsgebied groepsrisico (200 meter) externe veiligheid buisleidingen. Per cluster zijn de aantallen woningen en gevoelige bestemmingen per GES-score geteld. Bij de gevoelige bestemmingen is onderscheid gemaakt in 3 categorien: Ziekenhuizen, Scholen en dagverblijven voor jeugd, Verpleeg en verzorgingshuizen.</t>
  </si>
  <si>
    <t>98 Percentiel contouren met bijbehorende GES waarden bij geur- en/of stankeenheden (Geurbelastingcontouren in ge/m3 of ouE/m3)  van bedrijven in de provincie Utrecht.De geurbelasting als gevolg van bedrijven is vertaald naar GES (gezondheidseffectscreening) contouren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</si>
  <si>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Clusters (omtreklijn) van woningen binnen elektromagnetische veldsterkte in microTesla (µT) straling hoogspanningsleidingen. Per cluster zijn de aantallen woningen en gevoelige bestemmingen per GES-score geteld. Bij de gevoelige bestemmingen is onderscheid gemaakt in 3 categorien: Ziekenhuizen, Scholen en dagverblijven voor jeugd, Verpleeg en verzorgingshuizen.</t>
  </si>
  <si>
    <t>Plaatsgebonden Risicocontouren 10-6/jaar en zone invloedsgebied groepsrisico (200 meter vanaf de waterlijn) externe veiligheid als gevolg van gevaarlijk transport via vaarwegen zijn vertaald in GES (gezondheidseffectscreening) contouren. Alle woningen in de verschillende GES-contouren gelegen zijn in beeld gebracht. Doel is inzicht in knelpunten in de bestaande situatie en in de aanwezige risico’s bij nieuwe ontwikkelingen. Met dit inzicht kunnen keuzes onderbouwd worden.</t>
  </si>
  <si>
    <t>De plaatsgebonden risicocontouren 10-6,10-7,10-8  en zone invloedsgebied groepsrisico als gevolg van bedrijven met risicovolle activiteiten zijn vertaald in GES (gezondheidseffectscreening) contouren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</si>
  <si>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Plaatsgebonden risicocontouren 10-6/jaar en zone invloedsgebied groepsrisico (200 meter) als gevolg van buisleidingen voor transport van gevaarlijke stoffen zijn vertaald in GES (gezondheidseffectscreening) contouren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</si>
  <si>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Plaatsgebonden Risicocontouren 10-6/jaar en zone invloedsgebied groepsrisico (200 meter vanaf de waterlijn) externe veiligheid als gevolg van gevaarlijk transport via vaarwegen zijn vertaald in GES (gezondheidseffectscreening) contouren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</si>
  <si>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Clusters (omtreklijn) van woningen binnen Plaatsgebonden Risicocontouren 10-6/jaar en zone invloedsgebied groepsrisico (200 meter) externe veiligheid waterwegen. Per cluster zijn de aantallen woningen en gevoelige bestemmingen per GES-score geteld. Bij de gevoelige bestemmingen is onderscheid gemaakt in 3 categorien: Ziekenhuizen, Scholen en dagverblijven voor jeugd, Verpleeg en verzorgingshuizen.</t>
  </si>
  <si>
    <t>Clusters (omtreklijn) gebasseerd op  woningen binnen Plaatsgebonden Risicocontouren 10-6, 10-7 en 10-8/jaar en zone invloedsgebied groepsrisico bedrijven externe veiligheid. Per cluster zijn de aantallen woningen en gevoelige bestemmingen per GES-score geteld. Bij de gevoelige bestemmingen is onderscheid gemaakt in 3 categorien: Ziekenhuizen, Scholen en dagverblijven voor jeugd, Verpleeg en verzorgingshuizen.</t>
  </si>
  <si>
    <t>Woningen binnen geluidzone van 50 dB(A) Letmaal van gezoneerde industrieterreinen en de woningen met een Hogere Grenswaarde of een Maximaal Toelaatbare Geluidsbelasting (MTG).Als bij een industrieterrein een geluidzone van 50 dB geldt dan mag de geluidbelasting buiten de zone niet hoger zijn dan 50 dB. Het gaat hierbij om de gecumuleerde geluidbelasting van alle inrichtingen op het terrein. Binnen de zone kan door middel van een "hogere waarde procedure" een hogere geluidsbelasting (hogere waarde) worden toegestaan op woningen en andere geluidsgevoelige gebouwen of geluidsgevoelige terreinen. Deze verhoging is mogelijk tot een maximale ontheffingswaarde: 55 dB voor nieuwbouw en 60 dB voor bestaande woningen. De hogere waarde wordt per woning bepaald en vastgelegd.</t>
  </si>
  <si>
    <t>Gevoelige bestemmingen binnen geluidzone van 50 dB(A) Letmaal van gezoneerde industrieterreinen.Als bij een industrieterrein een geluidzone van 50 dB geldt dan mag de geluidbelasting buiten de zone niet hoger zijn dan 50 dB. Het gaat hierbij om de gecumuleerde geluidbelasting van alle inrichtingen op het terrein. Binnen de zone kan door middel van een "hogere waarde procedure" een hogere geluidsbelasting (hogere waarde) worden toegestaan op woningen en andere geluidsgevoelige gebouwen of geluidsgevoelige terreinen. Deze verhoging is mogelijk tot een maximale ontheffingswaarde: 55 dB voor nieuwbouw en 60 dB voor bestaande woningen. De hogere waarde wordt per woning bepaald en vastgelegd.</t>
  </si>
  <si>
    <t>De belasting als gevolg van straling (Elektromagnetische veldsterkte in microTesla (µT)) van hoogspanningslijnen  is vertaald naar GES (gezondheidseffectscreening)-contouren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</si>
  <si>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De provincie Utrecht legt een norm vast voor het beschermingsniveau van regionale waterkeringen. Deze keringen zijn in beheer bij het waterschap (Hoogheemraadschap Amstel, Gooi en Vecht). Dit is gedaan in het besluit van Utrecht van 26 oktober 2009, Noord-Holland van 9 november 2009 en van Zuid-Holland van 14 oktober 2009 tot algehele herziening van de regelgeving voor het Hoogheemraadschap Amstel, Gooi en Vecht met betrekking tot het waterbeheer.</t>
  </si>
  <si>
    <t>De provincie Utrecht legt een norm vast voor het beschermingsniveau van regionale waterkeringen. Deze keringen zijn in beheer bij het waterschap (Waterschap Rivierenland). Dit is gedaan in het besluit van provinciale staten van Utrecht van 26 oktober 2009, van Gelderland van 23september 2009, van Zuid-Holland van 14 oktober 2009 en van Noord-Brabant van 20november 2009 tot algehele herziening van de regelgeving voor het Waterschap Rivierenland met betrekking tot het waterbeheer.</t>
  </si>
  <si>
    <t>De provincie Utrecht legt een norm vast voor het beschermingsniveau van regionale waterkeringen. Deze keringen zijn in beheer bij het waterschap (Waterschap Vallei en Eem). Dit is gedaan in het besluit van provinciale staten van Utrecht van 26 oktober 2009 en van Gelderland van23 september 2009 tot algehele herziening van de regelgeving voor het Waterschap Vallei en Eem met betrekking tot het waterbeheer.</t>
  </si>
  <si>
    <t>Clusters (omtreklijn) gebasseerd op woningen binnen Geluidcontouren Lden dB railverkeer. Per cluster zijn de aantallen woningen en gevoelige bestemmingen per GES-score geteld. Bij de gevoelige bestemmingen is onderscheid gemaakt in 3 categorien: Ziekenhuizen, Scholen en dagverblijven voor jeugd, Verpleeg en verzorgingshuizen.</t>
  </si>
  <si>
    <t>Clusters (omtreklijn) gebasseerd op woningen binnen geluidcontouren Lden dB wegverkeer</t>
  </si>
  <si>
    <t>De geluidbelasting als gevolg van rijkswegen en provinciale wegen  (Lden)  is vertaald naar GES (gezondheidseffectscreening)-contouren. Alle woningen in de verschillende GES-contouren gelegen zijn in beeld gebracht. Doel is inzicht in knelpunten in de bestaande situatie en in de aanwezige risico’s bij nieuwe ontwikkelingen.  Met dit inzicht kunnen keuzes onderbouwd worden.</t>
  </si>
  <si>
    <t>De geluidbelasting als gevolg van railverkeer (Lden) is vertaald naar GES (gezondheidseffectscreening)-contouren. Alle woningen in de verschillende GES-contouren gelegen zijn in beeld gebracht.</t>
  </si>
  <si>
    <t>De geluidbelasting als gevolg van railverkeer (Lden) is vertaald naar GES (gezondheidseffectscreening)-contouren. De gevoelige bestemmingen in de verschillende GES-contouren gelegen zijn in beeld gebracht.</t>
  </si>
  <si>
    <t>De geluidbelasting als gevolg van rijkswegen (Lden)  is vertaald naar GES (gezondheidseffectscreening)-contouren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</si>
  <si>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Leefstijlen dagrecreatie per wijk. Leefstijlprofielen zijn doelgroepen waarin zowel demografische als leefstijlaspecten opgenomen zijn. Uit onderzoek (SmartAgent) komen zeven verschillende leefstijlprofielen naar voren. Download de Recreantenatlas voor een uitgebreide beschrijving van de verschillende leefstijlprofielen: http://www.provincie-utrecht.nl/publish/library/681/recreantenatlas_utrecht_2011.pdf.</t>
  </si>
  <si>
    <t>Beheerde kanoroutes in de provincie Utrecht.</t>
  </si>
  <si>
    <t>De belasting PM10 (Jaargemiddelde PM10-concentratie in microgram/m3) als gevolg van wegen is vertaald naar GES (gezondheidseffectscreening)-contouren. De gevoelige bestemmingen in de verschillende GES-contouren gelegen zijn in beeld gebracht. Doel is inzicht in knelpunten in de bestaande situatie en in de aanwezige risico’s bij nieuwe ontwikkelingen. Met dit inzicht kunnen keuzes onderbouwd worden.</t>
  </si>
  <si>
    <t>Gebieden, waar grof zand winbaar is in de provincie Utrecht.De kaart is gebaseerd op de bodemkaart en de kaart zoekruimte voor beton- en metselzand uit het bouwgrondstoffenplan. De eerste geeft de ligging van kleigebieden weer. Ook zandgebieden staan weergegeven op deze kaart. Daaruit zijn geselekteerd de gebieden met grof zand bruikbaar voor beton- en metselzand. Dit zand mag niet overal primair gewonnen worden. De gebieden waar dat wel mag zijn weergegeven op de kaart zoekruimte voor beton- en metselzand uit het bouwgrondstoffenplan en zijn omschreven in het streekplan van de provincie Utrecht.</t>
  </si>
  <si>
    <t>Twee-kilometerbuffer vastgestelde natuurgebieden (zie ook de kaart opdrachtnummer 11249).</t>
  </si>
  <si>
    <t>Bezettingsgraad van carpoolpleinen in provincie Utrecht en aanwezigheid van voorzieningen op carpoolplaatsen</t>
  </si>
  <si>
    <t>Locaties van de vergunde warmte-/koudeopslagsystemen in de provincie Utrecht.</t>
  </si>
  <si>
    <t>Clusters (omtreklijn) gebaseerd op woningen voor alle milieuaspecten en bronnen.</t>
  </si>
  <si>
    <t>De provincie Utrecht legt een norm vast voor het beschermingsniveau van regionale waterkeringen. Deze keringen zijn in beheer bij het waterschap (Hoogheemraadschap de Stichtse Rijnlanden). Dit is gedaan in het besluit van provinciale staten van Utrecht van 26 oktober 2009 en van Zuid-Holland van 14 oktober 2009 tot algehele herziening van de regelgeving voor het Hoogheemraadschap De Stichtse Rijnlanden met betrekking tot het waterbeheer.</t>
  </si>
  <si>
    <t>Clusters (omtreklijn) gebaseerd op woningen binnen jaargemiddelde NO2-concentratie in microgram/m3 rijkswegen. Per cluster zijn de aantallen woningen en gevoelige bestemmingen per GES-score geteld. Bij de gevoelige bestemmingen is onderscheid gemaakt in 3 categorien: Ziekenhuizen, Scholen en dagverblijven voor jeugd, Verpleeg en verzorgingshuizen.</t>
  </si>
  <si>
    <t>De geluidbelasting als gevolg van vliegverkeer (Lnight))  is vertaald naar GES (gezondheidseffectscreening) contouren. De gevoelige bestemmingen in de verschillende GES-contouren gelegen zijn in beeld gebracht. Doel is inzicht in knelpunten in de bestaande situatie en in de aanwezige risico’s bij nieuwe ontwikkelingen.  Met dit inzicht kunnen keuzes onderbouwd worden.</t>
  </si>
  <si>
    <t>98 Percentiel contouren met bijbehorende GES waarden bij geur- en/of stankeenheden (Geurbelastingcontouren in ge/m3 of ouE/m3) van bedrijven in de provincie Utrecht. De geurbelasting als gevolg van bedrijven is vertaald naar GES (gezondheidseffectscreening) contouren. DE gevoelige bestemmingen in de verschillende GES-contouren gelegen zijn in beeld gebracht. Doel is inzicht in knelpunten in de bestaande situatie en in de aanwezige risico’s bij nieuwe ontwikkelingen. Met dit inzicht kunnen keuzes onderbouwd worden.</t>
  </si>
  <si>
    <t>De geluidbelasting als gevolg van vliegverkeer (Lden)  is vertaald naar GES (gezondheidseffectscreening)-contouren en op kaarten weergegeven. Weergegeven worden de geluidcontouren Schiphol Lden dB en de vergunde geluidzone van 47 en 57 BKL voor het vliegveld Hilversum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</si>
  <si>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De geurbelasting als gevolg van veehouderijen is vertaald naar GES (gezondheidseffectscreening)-contouren (Geurcontouren in ouE/m3). De gevoelige bestemmingen in de verschillende GES-contouren gelegen zijn in beeld gebracht. Doel is inzicht in knelpunten in de bestaande situatie en in de aanwezige risico’s bij nieuwe ontwikkelingen. Met dit inzicht kunnen keuzes onderbouwd worden.</t>
  </si>
  <si>
    <t>Clusters (gemeentegrens) van woningen binnen geluidcontouren Schiphol Lden dB en de vergunde geluidzone van 47 en 57 BKL voor het vliegveld Hilversum. Per cluster zijn de aantallen woningen en gevoelige bestemmingen per GES-score geteld. Bij de gevoelige bestemmingen is onderscheid gemaakt in 3 categorien: Ziekenhuizen, Scholen en dagverblijven voor jeugd, Verpleeg en verzorgingshuizen.</t>
  </si>
  <si>
    <t>De belasting met NO2 (Jaargemiddelde NO2-concentratie in microgram/m3) als gevolg van wegen is vertaald naar GES (gezondheidseffectscreening)-contouren. Alle woningen in de verschillende GES-contouren gelegen zijn in beeld gebracht. Doel is inzicht in knelpunten in de bestaande situatie en in de aanwezige risico’s bij nieuwe ontwikkelingen. Met dit inzicht kunnen keuzes onderbouwd worden.</t>
  </si>
  <si>
    <t>De geluidbelasting als gevolg van vliegverkeer (Lden)  is vertaald naar GES (gezondheidseffectscreening) contouren. Woningen binnen geluidcontouren Schiphol Lden dB en de vergunde geluidzone van 47 en 57 BKL voor het vliegveld Hilversum zijn in beeld gebracht. Doel is inzicht in knelpunten in de bestaande situatie en in de aanwezige risico’s bij nieuwe ontwikkelingen.  Met dit inzicht kunnen keuzes onderbouwd worden.</t>
  </si>
  <si>
    <t>De geurbelasting als gevolg van veehouderijen  is vertaald naar GES (gezondheidseffectscreening)-contouren (Geurcontouren in ouE/m3)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</si>
  <si>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De belasting met NO2 (Jaargemiddelde NO2-concentratie in microgram/m3) als gevolg van wegen is vertaald naar GES (gezondheidseffectscreening)-contouren. De gevoelige bestemmingen in de verschillende GES-contouren gelegen zijn in beeld gebracht. Doel is inzicht in knelpunten in de bestaande situatie en in de aanwezige risico’s bij nieuwe ontwikkelingen. Met dit inzicht kunnen keuzes onderbouwd worden.</t>
  </si>
  <si>
    <t>De geluidbelasting als gevolg van vliegverkeer (Lnight))  is vertaald naar GES (gezondheidseffectscreening) contouren. Alle woningen in de verschillende GES-contouren gelegen zijn in beeld gebracht. Doel is inzicht in knelpunten in de bestaande situatie en in de aanwezige risico’s bij nieuwe ontwikkelingen.  Met dit inzicht kunnen keuzes onderbouwd worden.</t>
  </si>
  <si>
    <t>Clusters (gemeentegrens) gebaseerd op woningen binnen geurcontouren in ouE/m3 intensieve veehouderijen. Per cluster zijn de aantallen woningen en gevoelige bestemmingen per GES-score geteld. Bij de gevoelige bestemmingen is onderscheid gemaakt in 3 categorien: Ziekenhuizen, Scholen en dagverblijven voor jeugd, Verpleeg en verzorgingshuizen.</t>
  </si>
  <si>
    <t>De geluidbelasting als gevolg van vliegverkeer (Lden)  is vertaald naar GES (gezondheidseffectscreening) contouren. Gevoelige bestemmingen binnen geluidcontouren Schiphol Lden dB en de vergunde geluidzone van 47 en 57 BKL voor het vliegveld Hilversum zijn in beeld gebracht. Doel is inzicht in knelpunten in de bestaande situatie en in de aanwezige risico’s bij nieuwe ontwikkelingen.  Met dit inzicht kunnen keuzes onderbouwd worden.</t>
  </si>
  <si>
    <t>De belasting met PM2,5 (Jaargemiddelde PM10-concentratie in microgram/m3)  als gevolg van wegen  is vertaald naar GES (gezondheidseffectscreening)-klassen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</si>
  <si>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De belasting met NO2 (Jaargemiddelde NO2-concentratie in microgram/m3) als gevolg van wegen  is vertaald naar GES (gezondheidseffectscreening)-contouren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</si>
  <si>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98 Percentiel contouren met bijbehorende GES waarden bij geur- en/of stankeenheden (Geurbelastingcontouren in ge/m3 of ouE/m3) van bedrijven in de provincie Utrecht. De geurbelasting als gevolg van bedrijven is vertaald naar GES (gezondheidseffectscreening) contouren. Alle woningen in de verschillende GES-contouren gelegen zijn in beeld gebracht. Doel is inzicht in knelpunten in de bestaande situatie en in de aanwezige risico’s bij nieuwe ontwikkelingen. Met dit inzicht kunnen keuzes onderbouwd worden.</t>
  </si>
  <si>
    <t>De geluidbelasting als gevolg van vliegverkeer (Lnight))  is vertaald naar GES (gezondheidseffectscreening). De Geluidcontouren Schiphol Lnight dB worden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</si>
  <si>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Projectgrenzen van projecten van de provincie Utrecht waar actief gronden worden aan- of verkocht.</t>
  </si>
  <si>
    <t>De plaatsgebonden risicocontouren 10-6,10-7,10-8 en zone invloedsgebied groepsrisico als gevolg van bedrijven met risicovolle activiteiten zijn vertaald in GES (gezondheidseffectscreening) contouren. Alle woningen in de verschillende GES-contouren gelegen zijn in beeld gebracht. Doel is inzicht in knelpunten in de bestaande situatie en in de aanwezige risico’s bij nieuwe ontwikkelingen. Met dit inzicht kunnen keuzes onderbouwd worden.</t>
  </si>
  <si>
    <t>Verhardingssoorten van de provinciale wegen</t>
  </si>
  <si>
    <t>Herwin.Heite@provincie-utrecht.nl</t>
  </si>
  <si>
    <t>Ontheffinghouders, ligplaatsen en woonschepen.</t>
  </si>
  <si>
    <t>Aanwezige personen per dag, nacht en etmaal (100 x 100 meter). Signalerende functie bij ruimtelijke vraagstukken over externe veiligheid.</t>
  </si>
  <si>
    <t>Intensiteiten voor een gemiddelde weekdag.</t>
  </si>
  <si>
    <t>Booronderzoeken uitgevoerd ter vaststelling van de bodemopbouw, het detecteren van archeologische indicatoren en het opstellen van verwachtingsmodellen. De boorgegevens zijn oorspronkelijk vastgelegd in zogenaamde boorstaten.</t>
  </si>
  <si>
    <t>Plaatsgebonden Risicocontouren en waarden groepsrisico externe veiligheid als gevolg van gevaarlijk transport langs wegen zijn vertaald in GES (gezondheidseffectscreening) contouren. De gevoelige bestemmingen  in de verschillende GES-contouren gelegen zijn in beeld gebracht. Doel is inzicht in knelpunten in de bestaande situatie en in het aanwezige risico bij nieuwe ontwikkelingen. Met dit inzicht kunnen keuzes onderbouwd worden.</t>
  </si>
  <si>
    <t>Web-BVB (Bestand Veehouderij Bedrijven) is een database waarin per gemeente de agrarische vergunninggegevens of meldingen van veehouderijbedrijven staan. De provincie Utrecht heeft deze database opgezet om de milieubelasting van ammoniak en fijnstof en de ontwikkelingsruimte van agrarische bedrijven in Utrecht in kaart te brengen.</t>
  </si>
  <si>
    <t>Bosdelen en houtwallen waarin bomen en struiken aanwezig zijn die nog afstammen  van de oorspronkelijke inheemse bosflora. Bij de inventarisatie van de oude boskernen is onderscheid gemaakt tussen Bijzonder waardevolle, Zeer waardevolle en Waardevolle oude boskernen op basis van de hoeveelheid criteria die voor de opsporing van oude boskernen gehanteerd wordt, alsmede de dichtheid van voorkomen en de omvang van de hakhoutstoven.</t>
  </si>
  <si>
    <t>Recreatieschappen die binnen het kader van hoofdstuk 4 - Wateren van de Landschapsverordening Provincie Utrecht 2011 (Lsv) zijn vrijgesteld.</t>
  </si>
  <si>
    <t>Locatie van borden met de aanduiding stiltegebied</t>
  </si>
  <si>
    <t>Dataplatform NL</t>
  </si>
  <si>
    <t>monumenten inventarisatieproject, met en zonder beschermde status</t>
  </si>
  <si>
    <t>CC-BY 4.0</t>
  </si>
  <si>
    <t>Interlokale utilitaire hoofdfietsroutes van en naar woonkernen met meer dan 5000 inwoners. De fietsroutes zijn ingedeeld in vier categorien:beheer Provincie Utrecht, gemeente, liggend buiten de provincie Utrecht en gewenst._x000D_
Verbindende lijnen openbaar vervoer provincie Utrecht tussen kernen; schematisch weergegeven. Lijnen betreffen verbindingen die per gemiddelde werkdag meer dan 800 reizigers in beide richtingen samen vervoeren._x000D_
Nationale knooppunten: knooppunten met een hoge concentratie aan activiteiten en een nationale (of zelfs internationale) schakel in de verkeer- en vervoersnetwerken.</t>
  </si>
  <si>
    <t>&lt;b&gt; &lt;/b&gt;Locaties van de vergunde warmte-/koudeopslagsystemen in de provincie Utrecht.</t>
  </si>
  <si>
    <t>contouren NO2 wegverkeer</t>
  </si>
  <si>
    <t>Vestigingen van bedrijven en instellingen in de provincie Utrecht waar betaalde arbeid wordt verricht. Naast locatie is de_x000D_
                                                      bedrijfsactiviteit en de werkgelegenheid  bekend.</t>
  </si>
  <si>
    <t>potentiële opbrengst zonne-energie per pand</t>
  </si>
  <si>
    <t>2017-01-22</t>
  </si>
  <si>
    <t>wandelroutes NS en provincie</t>
  </si>
  <si>
    <t>regionale fietsknooppunten</t>
  </si>
  <si>
    <t>Openbare verlichting in beheer bij de provincie Utrecht.</t>
  </si>
  <si>
    <t>CC-0</t>
  </si>
  <si>
    <t>ov buslijnen provincie Utrecht</t>
  </si>
  <si>
    <t>Beschrijvende informatie bij de beheergrens van de provinciale wegen (N-wegen.  Vormt samen met de beheergrens het totaaloverzicht van de beheergrens van de provinciale wegen.</t>
  </si>
  <si>
    <t>Lijntopografie van de wegmarkeringen van de provinciale wegen. Vormt samen met vlaktopografie wegmarkeringen  en de beschrijvende informatie het totaaloverzicht van de wegmarkeringen op de provinciale wegen.</t>
  </si>
  <si>
    <t>Vlaktopografie van de wegmarkering van de provinciale wegen (de N-wegen). Vormt samen met lijntopografie wegmarkeringen en de beschrijvende informatie het totaaloverzicht van de wegmarkeringen op de provinciale wegen.</t>
  </si>
  <si>
    <t>Beschrijvende teksten als puntobjecten bij de verkeersregelinstallaties op de provinciale wegen (N-wegen).  Vormt samen met de verkeersregelinstallaties het totaaloverzicht van de verkeersregelinstallaties van de provinciale wegen.</t>
  </si>
  <si>
    <t>Verkeersregelinstallaties op de provinciale wegen (N-wegen). Vormt samen met de beschrijvende teksten het totaaloverzicht van de verkeersregelinstallaties van de provinciale wegen.</t>
  </si>
  <si>
    <t>Codes van de verkeersborden langs de provinciale wegen (N-wegen). Vormt samen met de Verkeersborden N-wegen (vlakken) het totaaloverzicht van de bebordingen langs de provinciale wegen.</t>
  </si>
  <si>
    <t>Beschrijvende informatie van de wegmarkering op de provinciale wegen (N-wegen).  Vormt samen met vlaktopografieweg markeringen en de lijntopografie wegmarkeringen het totaaloverzicht van de wegmarkeringen op de provinciale wegen.</t>
  </si>
  <si>
    <t>Clusters (omtreklijn) van woningen binnen Plaatsgebonden Risicocontouren en waardenklassen groepsrisico externe veiligheid railverkeer. Per cluster zijn de aantallen woningen en gevoelige bestemmingen per GES-score geteld. Bij de gevoelige bestemmingen is onderscheid gemaakt in 3 categorien: Ziekenhuizen, Scholen en dagverblijven voor jeugd, Verpleeg en verzorgingshuizen.</t>
  </si>
  <si>
    <t>Plaatsgebonden Risicocontouren en waarden groepsrisico externe veiligheid als gevolg van gevaarlijk transport via spoorwegen zijn vertaald in GES (gezondheidseffectscreening) contouren. De gevoelige bestemmingen in de verschillende GES-contouren gelegen zijn in beeld gebracht. Doel is inzicht in knelpunten in de bestaande situatie en in het aanwezige risico bij nieuwe ontwikkelingen. Met dit inzicht kunnen keuzes onderbouwd worden.</t>
  </si>
  <si>
    <t>Plaatsgebonden Risicocontouren en waarden groepsrisico externe veiligheid als gevolg van gevaarlijk transport via spoorwegen zijn vertaald in GES (gezondheidseffectscreening) contouren en op kaarten weergegeven.  Alle woningen en gevoelige bestemmingen die in de verschillende GES-contouren gelegen zijn, zijn eveneens in beeld gebracht. Doel is inzicht in knelpunten in de bestaande situatie en in het aanwezige risico  bij nieuwe ontwikkelingen.  Met dit inzicht kunnen keuzes onderbouwd worden.</t>
  </si>
  <si>
    <t>Plaatsgebonden Risicocontouren en waarden groepsrisico externe veiligheid als gevolg van gevaarlijk transport langs wegen zijn vertaald in GES (gezondheidseffectscreening) contouren en op kaarten weergegeven.  Alle woningen en gevoelige bestemmingen die in de verschillende GES-contouren gelegen zijn, zijn eveneens in beeld gebracht. Doel is inzicht in knelpunten in de bestaande situatie en in het aanwezige risico bij nieuwe ontwikkelingen. Met dit inzicht kunnen keuzes onderbouwd worden.</t>
  </si>
  <si>
    <t>Plaatsgebonden Risicocontouren en waarden groepsrisico externe veiligheid als gevolg van gevaarlijk transport via spoorwegen zijn vertaald in GES (gezondheidseffectscreening) contouren. Alle woningen in de verschillende GES-contouren gelegen zijn in beeld gebracht. Doel is inzicht in knelpunten in de bestaande situatie en in het aanwezige risico bij nieuwe ontwikkelingen. Met dit inzicht kunnen keuzes onderbouwd worden.</t>
  </si>
  <si>
    <t>Plaatsgebonden Risicocontouren en waarden groepsrisico  externe veiligheid als gevolg van gevaarlijk transport langs wegen zijn vertaald in GES (gezondheidseffectscreening) contouren. Alle woningen in de verschillende GES-contouren gelegen zijn in beeld gebracht. Doel is inzicht in knelpunten in de bestaande situatie en in het aanwezige risico bij nieuwe ontwikkelingen. Met dit inzicht kunnen keuzes onderbouwd worden.</t>
  </si>
  <si>
    <t>Clusters (omtreklijn) van woningen binnen Plaatsgebonden Risicocontouren en waardenklassen groepsrisico externe veiligheid wegverkeer. Per cluster zijn de aantallen woningen en gevoelige bestemmingen per GES-score geteld. Bij de gevoelige bestemmingen is onderscheid gemaakt in 3 categorien: Ziekenhuizen, Scholen en dagverblijven voor jeugd, Verpleeg en verzorgingshuizen.</t>
  </si>
  <si>
    <t>Vlaktopografie waar de verhardingstypen gekleurd asfalt en tegels langs de provinciale wegen (N-wegen) zich voordoen.</t>
  </si>
  <si>
    <t>Dit bestand geeft de grens weer waarop de landschapsverordening van toepassing is.</t>
  </si>
  <si>
    <t>Alle geluidswerende maatregelen langs provinciale wegen. Ten behoeve van PVMM ingetekend en voorzien van attributen.</t>
  </si>
  <si>
    <t>Aardkundige waarden vormen het structurerende reli??f in het Utrechtse landschap. Provincie Utrecht richt het ruimtelijk beleid hiervoor dan ook op het behouden en beschermen van aardkundige waarden als drager van de identiteit van het Utrechtse landschap. Aardkundige waarden stelt de Provincie waar mogelijk veilig. Als voorgestelde ruimtelijke ingrepen botsen met de aardkundige waarden in een gebied is een gedegen afweging tussen de ruimtelijke ingreep en het behoud van de aardkundige waarden nodig.Aardkundige monumenten zijn bijzondere aardkundige waarden. De aardkundige monumenten geven een goed beeld van het ontstaan van de provincie Utrecht. Daarom zijn ze belangrijk voor recreatie en educatie. Waar mogelijk zet de provincie Utrecht zich in om die rol te versterken.</t>
  </si>
  <si>
    <t>Digitale cultuurhistorische atlas van de Provincie Utrecht (CHAT), provincie Utrecht in 1300, 1476, 1555, 1795, 1840 en 2002.</t>
  </si>
  <si>
    <t>De geurbelasting als gevolg van veehouderijen is vertaald naar GES (gezondheidseffectscreening)-contouren (Geurcontouren in ouE/m3). Alle woningen in de verschillende GES-contouren gelegen zijn in beeld gebracht. Doel is inzicht in knelpunten in de bestaande situatie en in de aanwezige risico’s bij nieuwe ontwikkelingen. Met dit inzicht kunnen keuzes onderbouwd worden.</t>
  </si>
  <si>
    <t>Clusters (omtreklijn) gebaseerd op woningen binnen geurbelastingcontouren in ge/m3 of ouE/m3 bedrijven. Per cluster zijn de aantallen woningen en gevoelige bestemmingen per GES-score geteld. Bij de gevoelige bestemmingen is onderscheid gemaakt in 3 categorien: Ziekenhuizen, Scholen en dagverblijven voor jeugd, Verpleeg en verzorgingshuizen.</t>
  </si>
  <si>
    <t>Waardevolle natuur buiten de Ecologische Hoofdstructuur (EHS) en groene contour.</t>
  </si>
  <si>
    <t>Meetnet Kleine Landschappelijke Elementen (MKLE).</t>
  </si>
  <si>
    <t>De Provincie Utrecht heeft in 2006 met het Provinciaal Verkeers Milieu Model  (PVMM) de geluidsbelasting afkomstig van provinciale wegen bepaald. Deze gegevens zijn een vervolg op deze berekening en bevatten de geluidsbelasting (Lden) voor 2009.</t>
  </si>
  <si>
    <t>De Provincie Utrecht heeft in 2006 met het Provinciaal Verkeers Milieu Model  (PVMM) de geluidsbelasting afkomstig van provinciale wegen bepaald. Deze gegevens zijn een vervolg op deze berekening en bevatten de geluidsbelasting (Lnig) voor 2009.</t>
  </si>
  <si>
    <t>Risico bij dijkdoorbraak</t>
  </si>
  <si>
    <t>In de waardenkaart zijn gebieden aangegeven waar wateren zonder ontheffing van de Landschapsverordening Provincie Utrecht 2016 gedempt mogen worden.</t>
  </si>
  <si>
    <t>In het Natuurbeheerplan provincie Utrecht 2015 staat de begrenzing van de beheertypen op basis van de Index Natuur en Landschap. Voor het onderdeel natuur is per gebied concreet aangegeven wat het beheertype is dat op dit moment in het veld aanwezig is. Voor het onderdeel agrarisch natuurbeheer is aangegeven voor welke beheertypen subsidie aangevraagd kan worden, indien opengesteld.</t>
  </si>
  <si>
    <t>In het Natuurbeheerplan provincie Utrecht 2015 is de begrenzing van natuurterreinen aangegeven. Voor elk type begrenzing gelden andere mogelijkheden. Kijk hiervoor in het natuurbeheerplan.</t>
  </si>
  <si>
    <t>Plancapaciteit binnen kantorenterreinen in de provincie Utrecht.</t>
  </si>
  <si>
    <t>Het doel van de signaleringskaart is om ruimtelijke ordenings medewerkers een handreiking te bieden om vast te stellen of externe veiligheid aan de orde is in een gebied, waarvoor een ruimtelijk plan of project wordt ontwikkeld. Deze kaart is kader stellend (Wet Vervoer Gevaarlijke Stoffen en Besluit Transport Externe Veiligheid) voor het plaatsgebonden risico en het plasbrand aandachtsgebied (PAG) . Deze PAG is ingesteld langs transportassen waar veel vervoer plaatsvindt van vloeibare brandstoffen. Binnen het PAG mag niet worden gebouwd tenzij maatregelen worden genomen tegen de gevolgen van een plasbrand.De signaleringskaart biedt verder vuistregels om vast te stellen of een ruimtelijke ontwikkeling nabij een transportas leidt tot een te hoog groepsrisico.</t>
  </si>
  <si>
    <t>Het routeringsbestand geeft de wegen weer waarop transporten met risicovolle stoffen naar bedrijven en bedrijfsterreinen vergunningen zijn uitgegeven. Gemeentes zijn het bevoegd gezag.</t>
  </si>
  <si>
    <t>De Provincie Utrecht heeft een Bodemvisie opgesteld om bodemdaling te beperken. Hierin worden de grondwatertrappen gebruikt. Ook de Waterschappen gebruiken de grondwatertrappenkaart voor het opstellen van Waterbeheersplannen.Een grondwatertrappenkaart geeft de stand van het grondwater ten opzichte van het maaiveld weer. De Bodemkaart Veengebieden provincie Utrecht en deze grondwatertrappenkaart, schaal 1:25.000 is een actualisatie van bestaande bodeminformatie. De grondwatertrappenkaart geeft, samen met de bijbehorende bestanden, inzicht in de hoogte van de grondwaterstand in de winter, het voorjaar en de zomer.</t>
  </si>
  <si>
    <t>Digitale cultuurhistorische atlas van de Provincie Utrecht (CHAT), speerpunten cultuurhistorie. De bestaande ruimtelijke kwaliteit van de provincie Utrecht geeft richting aan de mogelijkheden en onmogelijkheden van ontwikkelingen. Dit speelt vooral in het landelijk gebied, maar heeft ook zijn weerslag op ontwikkelingen in het stedelijk gebied. Cultuurhistorische structuren lopen ook door stedelijk gebied en kernen liggen in landschappen wat op ontwikkelingen, zeker aan de rand van de kern, invloed heeft. De cultuurhistorische en archeologische waarden geven samen een beeld van de ontstaansgeschiedenis van de provincie Utrecht. Deze waarden dragen in hoge mate bij aan ruimtelijke kwaliteit en versterken het historisch besef van mensen. De Provincie wil eraan bijdragen dat deze waarden zoveel mogelijk behouden blijven en beleefd kunnen worden dankzij informatievoorziening en mogelijkheden voor gebruik en ontwikkeling. Met het ruimtelijk erfgoedbeleid wil de Provincie bijdragen aan het behouden, versterken en beleefbaar maken van cultuurhistorie in de provincie Utrecht. Dit resulteert in een strategie van enerzijds het veiligstellen van cultuurhistorische waarden en anderzijds het sturen van ruimtelijke ontwikkelingen vanuit de samenhangende cultuurhistorische kwaliteiten ter plaatse. Daarbij is ???behoud door ontwikkeling??? het uitgangspunt. De Cultuurhistorische Hoofdstructuur (CHS) vormt de basis van dit beleid. Voor het borgen van het gehele palet aan cultuurhistorische waarden binnen de CHS maakt de Provincie gebruik van het overleg met gemeenten. Hierin zal de Provincie vooral focussen op gemeentelijke plannen voor grootschalige ruimtelijke ontwikkelingen. Binnen de CHS heeft de Provincie vier prioritaire thema???s geselecteerd waarop de Provincie actief beleid voert en die de Provincie borgt in de Provinciale Ruimtelijke Verordening: 1. historische buitenplaatsenzones; 2. militair erfgoed; 3. agrarisch cultuurlandschap; 4. archeologie.</t>
  </si>
  <si>
    <t>Knooppunten in sloepenroutenetwerk.</t>
  </si>
  <si>
    <t>Sloepenroutenetwerk.</t>
  </si>
  <si>
    <t>De belasting met PM2,5 (Jaargemiddelde PM2,5-concentratie in microgram/m3) als gevolg van wegen is vertaald naar GES (gezondheidseffectscreening)-contouren. Alle woningen in de verschillende GES-contouren gelegen zijn in beeld gebracht. Doel is inzicht in knelpunten in de bestaande situatie en in de aanwezige risico’s bij nieuwe ontwikkelingen. Met dit inzicht kunnen keuzes onderbouwd worden.</t>
  </si>
  <si>
    <t>Landschappelijke waarden van kleine landschappelijke elementen (KLE -  lijnen). Geinventariseerd door Cor Zuidema.</t>
  </si>
  <si>
    <t>GES-score contouren voor alle milieuaspecten en bronnen.</t>
  </si>
  <si>
    <t>Woningen en GES-score voor alle milieuaspecten en bronnen</t>
  </si>
  <si>
    <t>Gevoelige bestemmingen en GES-score voor alle milieuaspecten en bronnen</t>
  </si>
  <si>
    <t>In de Kwaliteitsgids Utrechtse Landschappen verzameld de provincie alle gegevens over de landschappen -beschrijving, geschiedenis, bodem, ontwikkelmogelijkheden etc. -, met als doel de belangrijkste kwaliteiten te beschermen en versterken. De kwaliteitsgids wordt als richtsnoer en inspiratiebron gebruikt door professionals die werkzaam zijn in het landschap om plannen en projecten verder te helpen.</t>
  </si>
  <si>
    <t>LET OP: dit is de oude EHS uit het streekplan, deze is geldig 4 maart 2013. De nieuwe EHS is te vinden in de Provinciale Ruimtelijke Structuurvisie.---------------------------------------------------------------------------------------------------------     Geldt voor provinciale ruimtelijke verordening artikel 5.2.1 Groene contour bestaat uit EHS + EVZ + NATURA2000 + natuurbeschermingswetgebieden (+ subtype: groene corridors. Wordt niet meegenomen in topologische eisen maar in tekst)</t>
  </si>
  <si>
    <t>De Provincie Utrecht heeft een amendement met een verbod op scheuren en ploegen in de Veengebieden opgesteld. Dit is vastgelegd in de Provinciale Ruimtelijke Structuurvisie en het Waterplan.Naast het maken van de Bodemkaart Veengebieden provincie Utrecht, schaal 1:25.000 omvatte de opdracht het ontwikkelen van een methode om de kwetsbaarheid van de bodem zonder en met bodembewerking, zoals ploegen en scheuren, in kaart te brengen. Hiervoor zijn twee afgeleide kaarten, schaal 1:50.000, gemaakt. De kwetsbaarheid wordt met name bepaald door de opbouw van het bodemprofiel, het organische stofgehalte van de moerige lagen in het profiel en de diepte waarop bodembewerking plaats vindt.</t>
  </si>
  <si>
    <t>Een bodemkaart geeft de opbouw van de bodem tot 1,20 meter onder maaiveld weer. De Bodemkaart Veengebieden provincie Utrecht, schaal 1:25.000 is een actualisatie en verdere detaillering van oudere bestaande bodemkaarten. De kaart geeft het huidige voorkomen van binnen het onderzoeksgebied weer.</t>
  </si>
  <si>
    <t>De Provincie Utrecht heeft haar interim-beleid van het grondverzet voor deze toemaakdekken vastgelegd (zie ook de gemeentelijke Bodemfunctiekaarten en bodemkwaliteitskaarten en het 'Handelingskader bodembeheer toemaakgronden, landelijk gebied, december 2010’ ).  Een bodemkaart geeft de opbouw van de bodem tot 1,20 meter onder maaiveld weer. De Bodemkaart Veengebieden provincie Utrecht, schaal 1:25.000 is een actualisatie en verdere detaillering van oudere bestaande bodemkaarten. De kaart geeft het huidige voorkomen van toemaakdekken binnen het onderzoeksgebied weer.De aanduiding van het toemaakdek op de kaart is niet bepalend, maar slechts indicatief hulpmiddel. Boorprofielen zijn bepalend.</t>
  </si>
  <si>
    <t>De Provincie Utrecht heeft een amendement met een verbod op scheuren en ploegen in de Veengebieden opgesteld. Dit is vastgelegd in de Provinciale Ruimtelijke Structuurvisie en het Waterplan.Deze bodemkaart geeft de opbouw van de bodem tot 1,20 meter onder maaiveld weer. De Bodemkaart Veengebieden provincie Utrecht, schaal 1:25.000 is een actualisatie en verdere detaillering van oudere bestaande bodemkaarten. De kaart geeft het huidige voorkomen van venige en moerige bodems binnen het onderzoeksgebied weer. Op basis van de Bodemkaart Veengebieden provincie Utrecht zijn er twee afgeleide kaarten gemaakt, namelijk: Kwetsbaarheid voor oxidatie van organische stof (schaal 1:50.000) èn Kwetsbaarheid voor oxidatie van organische stof bij bodembewerking (schaal 1:50.000).</t>
  </si>
  <si>
    <t>Habitattypen binnen N2000- en BN-gebieden en stikstofgevoelige leefgebieden binnen VR-gebieden welke relevant zijn voor de Depositiebank.</t>
  </si>
  <si>
    <t>Begrenzingen N2000-gebieden welke relevant zijn voor de Depostiebank.</t>
  </si>
  <si>
    <t>De opgaande groene en karakteristieke landschapselementen (en aardkundige waarden en poelen) in het landschap, in acht verschillende hoofdcategorieën.</t>
  </si>
  <si>
    <t>In het Natuurbeheerplan provincie Utrecht 2016 staat de begrenzing van de beheertypen op basis van de Index Natuur en Landschap. In de ambitie laag is per gebied concreet aangegeven wat de ambitie is voor dat gebied.Wij hanteren hiervoor prioriteiten, deze prioriteiten dienen op basis van de tekst in het natuurbeheerplan bekeken te worden.</t>
  </si>
  <si>
    <t>In het Natuurbeheerplan provincie Utrecht 2016 staat de begrenzing van de beheertypen op basis van de Index Natuur en Landschap. Voor het onderdeel natuur is per gebied concreet aangegeven wat het beheertype is dat op dit moment in het veld aanwezig is.</t>
  </si>
  <si>
    <t>In het natuurbeheerplan provincie Utrecht 2016 is de begrenzing van natuurterreinen aangegeven. Voor elk type begrenzing gelden andere mogelijkheden. Kijk hiervoor in het natuurbeheerplan.</t>
  </si>
  <si>
    <t>Kabels en leidingen die zijn vastgelegd in het kader van de WION (Wet informatie-uitwisseling ondergrondse netten)</t>
  </si>
  <si>
    <t>Het Utrecht Science Park is een kenniscentrum waar onderwijs, onderzoek en kennisintensieve bedrijven elkaar, door hun onderlinge nabijheid, versterken. Het Utrecht Science Park creeërt een klimaat waarin kennisuitwisseling, kennisvalorisatie en een hoogwaardige lokale economie tot bloei kunnen komen. Het Utrecht Science Park is het kloppende hart van een regionaal netwerk van hoogwaardige vestigingslocaties en projecten gericht op kennisintensieve bedrijven in de provincie Utrecht. Het netwerk en het Science Park trekken innovatieve bedrijven aan en vormen een bakermat voor nieuwe kennisintensieve bedrijvigheid.</t>
  </si>
  <si>
    <t>Heel de Heuvelrug is verdeeld in zones (stil, rustig, gemoedelijk en levendig). In de stille zone is het hoofddoel natuur, in de levendige zone is het hoofddoel recreatie. De zonering is de basis voor de inrichting van het recreatieve netwerk.</t>
  </si>
  <si>
    <t>Projecten in diverse focusgemeenten die in aanmerking komen voor subsidie.</t>
  </si>
  <si>
    <t>De grondwaterbeschermingszones bestaan uit de waterwingebieden, grondwaterbeschermingsgebieden, boringsvrije zones en 100-jaarsaandachtsgebieden. De Provinciale Milieu Verordening en Provinciale Ruimtelijke Verordening bevatten regels voor deze zone. Ook geldt voor deze zones provinciaal beleid (Provinciaal Grondwaterplan).</t>
  </si>
  <si>
    <t>Locaties met voorbeelden van Duurzaamheid</t>
  </si>
  <si>
    <t>Gebieden waarbinnen het waterbergend vermogen niet mag worden verminderd of belemmerd.</t>
  </si>
  <si>
    <t>Infiltratiegebied Utrechtse Heuvelrug.</t>
  </si>
  <si>
    <t>De provincie Utrecht is ingedeeld in 22 homogene gebieden. De indeling heeft plaatsgevonden op basis van het bodemtype en de grondwaterstanden (in grondwatertrappen). Aan elk homogeen gebied is een factsheet gekoppeld. Het uitgangspunt voor deze factsheets wordt gevormd door de mogelijkheden, kansen en belemmeringen die het natuurlijk bodem- en watersysteem biedt. Doel van de factsheets is het faciliteren van de ambitie dat het bodem- en watersysteem een mede-afwegende factor is bij de volgende keuzes: - het toekennen van een gebruiksfunctie aan een gebied; - het bepalen van de nadere inrichting van een gebied.</t>
  </si>
  <si>
    <t>De belasting met PM10 (Jaargemiddelde PM10-concentratie in microgram/m3) als gevolg van veehouderijen is vertaald naar GES (gezondheidseffectscreening) contouren. Alle woningen die in de verschillende GES-contouren gelegen zijn in beeld gebracht. Doel is inzicht in knelpunten in de bestaande situatie en in het aanwezige risico bij nieuwe ontwikkelingen. Met dit inzicht kunnen keuzes onderbouwd worden.</t>
  </si>
  <si>
    <t>De belasting met PM10 (Jaargemiddelde PM10-concentratie in microgram/m3) als gevolg van veehouderijen is vertaald naar GES (gezondheidseffectscreening) contouren en op kaarten weergegeven. Alle woningen  en gevoelige bestemmingen die in de verschillende GES-contouren gelegen zijn,  zijn eveneens in beeld gebracht. Doel is inzicht in knelpunten in de bestaande situatie en in de aanwezige risico’s bij nieuwe ontwikkelingen.  Met dit inzicht kunnen keuzes onderbouwd worden.</t>
  </si>
  <si>
    <t>De belasting PM10 (Jaargemiddelde PM10-concentratie in microgram/m3) als gevolg van wegen is vertaald naar GES (gezondheidseffectscreening)-contouren. Alle woningen in de verschillende GES-contouren gelegen zijn in beeld gebracht. Doel is inzicht in knelpunten in de bestaande situatie en in de aanwezige risico’s bij nieuwe ontwikkelingen. Met dit inzicht kunnen keuzes onderbouwd worden.</t>
  </si>
  <si>
    <t>De belasting met PM2,5 (Jaargemiddelde PM2,5-concentratie in microgram/m3) als gevolg van wegen is vertaald naar GES (gezondheidseffectscreening)-contouren. Alle gevoelige bestemmingen in de verschillende GES-contouren gelegen zijn in beeld gebracht. Doel is inzicht in knelpunten in de bestaande situatie en in de aanwezige risico???s bij nieuwe ontwikkelingen. Met dit inzicht kunnen keuzes onderbouwd worden.</t>
  </si>
  <si>
    <t>Vestigingen van bedrijven en instellingen in de provincie Utrecht waar betaalde arbeid wordt verricht. Naast locatie is de bedrijfsactiviteit en de werkgelegenheid bekend.</t>
  </si>
  <si>
    <t>Alle kantorenterreinen in de provincie Utrecht.</t>
  </si>
  <si>
    <t>Stiltegebieden in de provincie Utrecht. Weergegeven wordt de feitelijke stille kern ( &lt;40db(A)) en het overgangsgebied. Deze vormen samen het stiltegebied.</t>
  </si>
  <si>
    <t>De begrenzing van militaire terreinen Leusder Hei en Vlasakkers die conform het Barro buiten de EHS gehouden moeten worden.</t>
  </si>
  <si>
    <t>Provinciale Ruimtelijke Verordening 2013 (partiële herziening), kaart 5: Verkeer en vervoer.</t>
  </si>
  <si>
    <t>Provinciale Ruimtelijke Verordening 2013 (partiële herziening), kaart 3: Cultureel erfgoed.</t>
  </si>
  <si>
    <t>Dit onderdeel van de herziening betreft het onderwerp Cultureel erfgoed, de begrenzing van het militair erfgoed de Stelling van Amsterdam en van de buitenplaatszones in de Provinciale Ruimtelijke Structuurvisie 2013-2028 (PRS) en de Provinciale Ruimtelijke Verordening 2013 (PRV) en de tekst van archeologie in de PRV.</t>
  </si>
  <si>
    <t>Dit onderdeel van de herziening betreft het onderwerp ruimte bieden voor duurzame energie in de vorm van experimenteerruimte en het onderwerp windenergie, zowel de ambitie als een nieuwe windenergielocatie bij Vianen. Er zijn teksten gewijzigd in de Provinciale Ruimtelijke Structuurvisie 2013-2028 (PRS) en teksten toegevoegd aan de Provinciale Ruimtelijke Verordening 2013 (PRV). Ook zijn de kaarten over energie in zowel de PRS, als de PRV aangepast.</t>
  </si>
  <si>
    <t>Provinciale Ruimtelijke Verordening 2013 (partiële herziening), kaart 2: Duurzame energie.</t>
  </si>
  <si>
    <t>De Ecologische Hoofdstructuur is een robuust netwerk gevormd door bestaande natuurgebieden, nieuwe nog te realiseren natuurgebieden en verbindingszones tussen de natuurgebieden. Enkele beheersgebieden maken ook onderdeel uit van de EHS. Dit zijn landbouwgebieden waar agrarisch natuurbeheer wordt ingezet om een bijdrage te leveren aan de biodiversiteit, en aan het functioneren van de EHS.</t>
  </si>
  <si>
    <t>EHS met indicatie "voor verzuring gevoelig gebied" volgens de Wet Ammoniak en Veehouderij (WAV).</t>
  </si>
  <si>
    <t>Natuur vormt een belangrijke basis voor een aantrekkelijk, kwalitatief hoogwaardig landelijk gebied. De provincie Utrecht heeft, onder meer door de variatie in ondergrond, een diverse natuur met hoge biodiversiteit. Door verschillende oorzaken, zoals verstedelijking, verdroging en vermesting, maar ook klimaatverandering, staat deze biodiversiteit onder druk. We spannen ons in voor het in stand houden en waar mogelijk vergroten van de biodiversiteit. Voor natuur zien wij vooral een provinciale rol in het behouden en ontwikkelen van de Ecologische Hoofdstructuur (EHS) en in het bieden van mogelijkheden voor ontwikkeling van natuur in de groene contour. We zorgen ervoor dat inwoners en bezoekers deze natuur, waar mogelijk, kunnen beleven.</t>
  </si>
  <si>
    <t>Buffer van 250 meter rondom de EHS met indicatie "voor verzuring gevoelig gebied" volgens de Wet Ammoniak en Veehouderij (WAV).</t>
  </si>
  <si>
    <t>Provinciale Ruimtelijke Verordening 2013 (partiële herziening), kaart 4: Wonen en werken.</t>
  </si>
  <si>
    <t>Dit onderdeel van de herziening betreft het onderwerp Stedelijk programma Utrecht</t>
  </si>
  <si>
    <t>Binnen de 'groene contour' liggen gebieden die van belang worden geacht voor het functioneren van de EHS, maar die niet onder de EHS zelf vallen, omdat er tot 2021 geen financiering met Rijksmiddelen mogelijk is. In het Akkoord van Utrecht hebben de deelnemende partijen afgesproken dat binnen deze gebieden op 3.000 ha. grond op vrijwillige basis nieuwe natuur gerealiseerd kan worden. Na realisatie nemen wij deze nieuwe natuur op in de EHS.</t>
  </si>
  <si>
    <t>Dit onderdeel van de herziening betreft het onderwerp rode contour. In het object rode contour (toelichtend) en stedelijk gebied / binnenstedelijke woningbouw op de kaarten van zowel de Provinciale Ruimtelijke Verordening 2013 (PRV), als de Provinciale Ruimtelijke Structuurvisie 2013-2028 (PRS) is een wijziging doorgevoerd ter hoogte van Achterberg in de gemeente Rhenen en is een wijziging doorgevoerd bij de gemeente Utrecht ten behoeve van het ‘Prinses Máxima Centrum voor Kinderoncologie’. Voor dit laatste zijn ook teksten gewijzigd in de PRS.</t>
  </si>
  <si>
    <t>Provinciale Ruimtelijke Verordening 2013 (partiële herziening), kaart 8: Natuur.</t>
  </si>
  <si>
    <t>De begrenzing van landelijk gebied is gewijzigd. Op de aangepaste gebieden is de algemene beleidslijn landelijk gebied van toepassing zoals verwoord in de PRS: NL.IMRO.9926.SV1212PRS-VA01.</t>
  </si>
  <si>
    <t>Provinciale Ruimtelijke Verordening 2013 (partiële herziening), kaart 9: Recreatie.</t>
  </si>
  <si>
    <t>Provinciale Ruimtelijke Verordening 2013 (partiële herziening), kaart 10: Landbouw.</t>
  </si>
  <si>
    <t>De begrenzing van verwevingsgebied is gewijzigd. Op de aangepaste gebieden is het beleid voor verwevingsgebied van toepassing zoals verwoord in de PRS: NL.IMRO.9926.SV1212PRS-VA01.</t>
  </si>
  <si>
    <t>De begrenzing van landbouwgebied en landbouwkerngebied is gewijzigd. Op de aangepaste gebieden is het beleid voor landbouwgebied en landbouwkerngebied van toepassing zoals verwoord in de PRS: NL.IMRO.9926.SV1212PRS-VA01.</t>
  </si>
  <si>
    <t>Provinciale Ruimtelijke Verordening 2013 (partiële herziening), kaart 6: Landelijk gebied.</t>
  </si>
  <si>
    <t>Bestand bevat informatie over de lichtmasten langs de provinciale wegen. Vormt samen met de Tekstpunten behorend bij de lichtmasten N-wegen het totaaloverzicht van de lichtmasten langs de provinciale wegen.</t>
  </si>
  <si>
    <t>Op hoofdlijnen worden binnen de provincie Utrecht zes leefgebieden onderscheiden: heide en open zand, bossen, akkers, graslanden, moerassen en wateren. Ieder leefgebied wordt gekenmerkt door het voorkomen van typerende soorten. Zo komen in bossen heel andere soorten voor dan in moerassen of akkers. Sommige diersoorten zoals de das, maken gebruik van verschillende leefgebieden. De leefgebieden hebben veel raakvlakken met het bodem-watersysteem en de cultuurhistorie. Leefgebieden vormen vaak een duidelijk herkenbaar onderdeel van het landschap.</t>
  </si>
  <si>
    <t>Wegen die voldoen aan de volgende intensiteitscriteria: &gt; 9.800 vrachtauto’s/etmaal op rijkswegen; &gt; 2.300 vrachtauto’s/etmaal op rijks N-wegen; &gt; 1.300 vrachtauto’s/etmaal op provinciale wegen &gt; 600 vrachtauto’s/etmaal op gemeentelijke wegen.</t>
  </si>
  <si>
    <t>Verkeersregelinstallaties</t>
  </si>
  <si>
    <t>Kwaliteitsnet Goederenvervoer Spoorwegen</t>
  </si>
  <si>
    <t>Bedrijven niet op bedrijventerrein of kantoorlacatie met:• &gt; 100   werkzame personen;• en/of &gt; 500  vrachtautobewegingen per etmaal.</t>
  </si>
  <si>
    <t>Locaties waar maximum snelheid lager is dan wettelijke maximum op dit soort wegen</t>
  </si>
  <si>
    <t>Kwaliteitsnet Goederenvervoer Rotondes</t>
  </si>
  <si>
    <t>Aantal slachtofferongevallen (2001-2006) met vrachtauto's</t>
  </si>
  <si>
    <t>locaties waar landbouwverkeer is toegestaan</t>
  </si>
  <si>
    <t>Locaties met jaargemiddelde concentraties NO2 &gt; 40ug/m3</t>
  </si>
  <si>
    <t>Kwaliteitsnet Goederenvervoer Knelpunt hoogte</t>
  </si>
  <si>
    <t>Kwaliteitsnet Goederenvervoer Knelpunt aslast</t>
  </si>
  <si>
    <t>Kantoorlocaties met:• &gt; 100   werkzame personen;• en/of &gt; 500  vrachtautobewegingen per etmaal.</t>
  </si>
  <si>
    <t>Gelijkvloerse spoorwegovergang</t>
  </si>
  <si>
    <t>Wegen met fietsers op rijbaan</t>
  </si>
  <si>
    <t>Wegen die door de ecologische hoofdstructuur gaan</t>
  </si>
  <si>
    <t>Kwaliteitsnet Goederenvervoer Drempels</t>
  </si>
  <si>
    <t>Kwaliteitsnet Goederenvervoer Chicane / Wegversmalling</t>
  </si>
  <si>
    <t>Centrumlocaties (binnensteden/hoofdwinkelgebieden): &gt; € 45.000.000  omzet in 2004; en/of &gt; 60 winkels; en/of &gt;  500 vrachtautobewegingen per etmaal.</t>
  </si>
  <si>
    <t>Kwaliteitsnet Goederenvervoer, Beweegbare bruggen in de provincie Utrecht</t>
  </si>
  <si>
    <t>Bedrijventerreinen met:• &gt; 10   hectare (bruto);• en/of &gt; 10   hectare (bruto) geclusterd;• en/of &gt; 500   vrachtautobewegingen per etmaal</t>
  </si>
  <si>
    <t>Voorgangsrapportage Integrale Gebiedsgerichte Projecten (IGP).</t>
  </si>
  <si>
    <t>Actualisatie Integraal Gebiedsontwikkelingsprogramma (IGP) 2012.</t>
  </si>
  <si>
    <t>Ecoducten en Faunapassages worden gebruikt binnen het dagelijkse leefgebied van de diersoorten en om verder verspreiding in nieuwe leefgebieden mogelijk te maken. Faunapassages zijn buizen onder weg of het spoor, of looprichels bij bruggen voor padden, bunzing, egel, konijn, das, boommarter, otter en andere soorten, zodat deze veilig de weg over kunnen passeren. Ecoducten of natuurbruggen zijn met vegetatie begroeide viaducten over de weg of het spoor om alle diersoorten in het betreffende gebied een veilige oversteek te bieden.</t>
  </si>
  <si>
    <t>Indeling waterschappen binnen de provincie Utrecht. Vastgesteld door de Provincie Utrecht</t>
  </si>
  <si>
    <t>Knooppunten, toevoeging op accent beleefbaar en zichtbaar cultureel erfgoed bij actualisatie Integraal Gebiedsontwikkelingsprogramma (IGP) 2012.</t>
  </si>
  <si>
    <t>Ontsluiting Utrecht Science Park, toevoeging op accent beleefbaar en zichtbaar cultureel erfgoed bij actualisatie Integraal Gebiedsontwikkelingsprogramma (IGP) 2012.</t>
  </si>
  <si>
    <t>Accenten bij actualisatie Integraal Gebiedsontwikkelingsprogramma (IGP) 2012.</t>
  </si>
  <si>
    <t>Wandelroutenetwerk Utrecht West.</t>
  </si>
  <si>
    <t>Knooppunten in wandelroutenetwerk Utrecht West.</t>
  </si>
  <si>
    <t>Beheergebieden van Recreatie Midden-Nederland (RMN).</t>
  </si>
  <si>
    <t>Winkelgebieden in de provincie Utrecht.</t>
  </si>
  <si>
    <t>Een industrieterrein, waar een geluidszone omheen ligt. Het betreft een industrieterrein waar de zogenaamde art 2.4 IVB inrichtingen liggen. Dit zijn provinciale bedrijven die in artikel 2.4 van het Inrichtingen en Vergunningen Besluit worden aangewezen.</t>
  </si>
  <si>
    <t>In het bestemmingsplan of zonebesluit vastgelegde zone rond het industrieterrein, waarbuiten de etmaalwaarde van de geluidsbelasting ten gevolge van het industrieterrein niet meer dan 50 dB(A) mag bedragen. (Het bestemmingsplan wordt gemaakt door de gemeente. Zonebesluiten zijn in het verleden vastgesteld door de minister van VROM. De zonebeheerder toetst of bedrijven binnen de geluidzone passen.) Met de wijziging van de wet Geluidhinder per 1-1-2007 is de informatieplicht voor de geluidszone bij de gemeente te komen liggen. De gemeente is formeel aanspreekpunt voor zonebeheer.</t>
  </si>
  <si>
    <t>In de dataset zijn de geluidgevoelige objecten (voornamelijk woningen) in de provincie Utrecht aangegeven die gekarakteriseerd worden door een geluidbelasting op de gevel van respectievelijk 50, 61 en 65 dB Lden als gevolg van wegverkeerslawaai door een van de provinciale wegen. De gegevens zijn afkomstig van de EU Richtlijn Omgevingslawaai 2e tranche (peiljaar 2011).</t>
  </si>
  <si>
    <t>Lokale knooppunten: Knooppunten waar mensen uit de omgeving van auto of fiets overstappen ophet regionale, meestal railgebonden openbaar vervoer. Waar mogelijk en haalbaar is sprake van enigeconcentratie van activiteiten rond het knooppunt, passend bij de schaal van het gebied.</t>
  </si>
  <si>
    <t>Autosnelwegen, hoofdwegen en regionale wegen over regionale keringen in de provincie Utrecht.</t>
  </si>
  <si>
    <t>Wegen die voldoen aan de volgende intensiteitscriteria: &gt; 9.800 vrachtauto/etmaal op rijkswegen; &gt; 2.300 vrachtauto/etmaal op rijks N-wegen; &gt; 1.300 vrachtauto/etmaal op provinciale wegen &gt; 600 vrachtauto/etmaal op gemeentelijke wegen.Aanvullende routes die volgens gemeenten belangrijk zijn voor goede ontsluiting goederenvervoer.</t>
  </si>
  <si>
    <t>Bedrijven niet op bedrijventerrein of kantoorlocatie met: &gt; 100   werkzame personen; en/of &gt; 500  vrachtautobewegingen per etmaal.</t>
  </si>
  <si>
    <t>Olaf.van.der.Sluis@provincie-utrecht.nl</t>
  </si>
  <si>
    <t>Centrumlocaties (binnensteden/hoofdwinkelgebieden): &gt; 45.000.000  euro omzet in 2004; en/of &gt; 60 winkels; en/of &gt;  500 vrachtautobewegingen per etmaal.</t>
  </si>
  <si>
    <t>alle locaties waar bedrijven zijn gevestigd die belangrijk zijn voor goederenvervoer.</t>
  </si>
  <si>
    <t>hans.kraaij@provincie-utrecht.nl</t>
  </si>
  <si>
    <t>Het beschikbaar wegennet met categorieen, functies en prioriteiten.</t>
  </si>
  <si>
    <t>Dijkringlijnen begrenzen dijkringen. De lijnen vormen de begrenzingen van de dijkringen en vallen daarom vaak samen met de waterkeringen of natuurlijke waterscheidingen.</t>
  </si>
  <si>
    <t>Een selectie uit het beschikbare wegennet met daaraan toegevoegd een knelpunttype ochtend- en/of avondspits.</t>
  </si>
  <si>
    <t>Woonkernen waarvan en waarnaar verbindend openbaar vervoer plaatsvindt.</t>
  </si>
  <si>
    <t>Verbindende lijnen openbaar vervoer provincie Utrecht tussen kernen; schematisch weergegeven. Lijnen betreffen verbindingen die per gemiddelde werkdag meer dan 800 reizigers in beide richtingen samen vervoeren.</t>
  </si>
  <si>
    <t>Een selectie van locaties van voortgezet onderwijs in Provincie Utrecht ten behoeve van de Mobiliteitsvisie 2014 -2028. De gegevens zijn verzameld door DUO (Dienst Uitvoering Onderwijs) voor de uitvoering van het beleid van het Ministerie van OCW. Handmatig zijn er twee locaties van het Revius college toegevoegd (in Doorn en Wijk bij Duurstede). Tevens is het Corlear College in Nijkerk handmatig toegevoegd.</t>
  </si>
  <si>
    <t>Wegen die in de periode tussen 2013 tot 2028 aangelegd gaan worden.</t>
  </si>
  <si>
    <t>Nationale knooppunten: knooppunten met een hoge concentratie aan activiteiten en een nationale (of zelfsinternationale) schakel in de verkeer- en vervoersnetwerken.</t>
  </si>
  <si>
    <t>Interlokale utilitaire hoofdfietsroutes van en naar woonkernen met meer dan 5000 inwoners.  De fietsroutes zijn ingedeeld in vier categorien:beheer Provincie Utrecht, gemeente, liggend buiten de provincie Utrecht en gewenst.</t>
  </si>
  <si>
    <t>Regionale knooppunten: Knooppunten met een concentratie aan activiteiten en een breed aanbod aanopenbaar vervoer, waar alle vervoermiddelen bij elkaar komen, met een goede aansluiting op het regionalewegennet om toeleidende verkeersstromen richting de steden in de provincie een overstapfunctie te bieden.</t>
  </si>
  <si>
    <t>Overige knooppunten: Alle overige stations en enkele relevante overstappunten voor het openbaarvervoer. Aan deze knopen worden geen eisen gesteld met betrekking tot de bebouwde omgeving. Voorhet goed functioneren van deze knooppunten dient de basis op orde te zijn wat betreft inrichting engebruiksmogelijkheden.</t>
  </si>
  <si>
    <t>Als regionaal wegennet heeft de Provincie Utrecht naast het door de Provincie beheerde wegennetwerk een aantal gemeentelijke wegtrajecten opgenomen. Het gaat om trajecten met een doorgaand karakter die verkeerskundig een bovengemeentelijke rol vervullen. Dit regionale wegennet is belangrijk voor een goede bereikbaarheid van woonlocaties en van bovenregionale werk- en vrijetijdslocaties, wat de Provincie aanmerkt als provinciaal belang.</t>
  </si>
  <si>
    <t>Alle kantoorlocaties in de provincie Utrecht inclusief het aantal werkzame personen.Werklocaties - kantoren 2010 gecombineerd met Provinciaal Arbeidsplaatsen Register 2011.</t>
  </si>
  <si>
    <t>Wegen die een compartimenterende funtie hebben bij een overstroming.</t>
  </si>
  <si>
    <t>Veel natuurgebieden in de provincie lijden onder verdroging. De gebieden zijn ingedeeld in verschillende categorieën: TOP-gebieden: Dit zijn onze 12 belangrijkste verdroogde natuurgebieden. Het gaat om Natura 2000 gebieden van internationaal belang en om NB- wetgebieden van nationaal belang. De inzet van de betrokken partijen richt zich vooral op deze gebieden met als doel dat voor 2010 de maatregelen in beeld zijn gebracht en zo snel mogelijk, maar in ieder geval voor 2014 de maatregelen uitgevoerd zijn om een optimale situatie in deze natuurgebieden te bereiken. SUBTOP-gebieden en overig verdroogd gebied. Deze natuurgebieden zijn van regionaal of lokaal belang. Voor deze gebieden wordt per jaar onder regie van de provincie beoordeeld hoe de aanpak van de verdroging zich ontwikkelt en wordt geïnventariseerd waar kansen blijven liggen. Deze kansen brengen we onder de aandacht van de AVPgebiedspartners zodat ze in de AVP-uitvoeringsprogramma’s kunnen worden opgenomen. Voor de SUBTOP gebieden geldt dat hier al doelen voor in de AVP-gebiedscontracten zijn opgenomen.De kaarten geven aan waar verdroogde natuur voorkomt en met de klasse-indeling van de kaart wordt ruimtelijk inzichtelijk gemaakt in welke gebieden de prioriteiten liggen mbt de aanpak van de verdroging. Kaarten zijn vervaardigd in het kader van PS-besluit 2006WEM004684i en vormen verder de basis voor de Bestuursovereenkomst 2007-2013 tussen het Rijk en de Provincie Utrecht (dec 2006) en voor het Convenant verdrogingsbestrijding (juli 2008).Grondwaterafhankelijke gebieden waarvan nog niet is aangetoond dat ze niet verdroogd zijn. Deze kaart is vervaardigd door de verdrogingskaart 2003 te koppelen aan natuurgebiedsplannen, vogel- en habitatrichtlijngebieden en nb-wet gebieden.</t>
  </si>
  <si>
    <t>mirjam.luis-westenbroek@provincie-utrecht.nl</t>
  </si>
  <si>
    <t>Gebieden waarbinnen de uitvoeringsprogramma's van de provincie voor het landelijk gebied vallen. De uitvoeringsprogramma's zijn vertaald in gebiedsprogramma's voor de gebieden AVP-Oost en AVP-West. De gebiedscommissies zijn verantwoordelijk voor de uitvoering van de programma's.</t>
  </si>
  <si>
    <t>Voor een duurzame leefomgeving is het belangrijk dat we rekening houden met de veranderingen die op ons afkomen. Een belangrijk onderdeel hiervan is de verandering van het klimaat en de steeds beperkter wordende beschikbaarheid van fossiele brandstoffen. We willen in ons beleid hiermee rekening houden en er op inspelen door enerzijds ruimtelijke maatregelen te nemen die ervoor zorgen dat we beter om kunnen gaan met de klimaatverandering en anderzijds energiebesparing en het gebruik van duurzame energiebronnen te stimuleren. Hierbij vinden we het ook belangrijk dat de leefomgeving gezond, veilig en aantrekkelijk blijft. We stimuleren het meenemen van deze aspecten bij ruimtelijke ontwikkeling.</t>
  </si>
  <si>
    <t>Landbouw is de belangrijkste gebruiker van ons landelijk gebied en van groot belang voor de kwaliteit van ons aantrekkelijke cultuurlandschap. De opgave voor de landbouw is om zich te handhaven om zo, naast haar primaire rol als voedselproducent, de rol voor het cultuurlandschap te kunnen blijven spelen: ‘duurzame groei in een aantrekkelijk landschap’. In ons beleid geven wij aan hoe wij de landbouw hierin kunnen ondersteunen.</t>
  </si>
  <si>
    <t>Provinciale Ruimtelijke Verordening 2013, kaart 3: Cultureel erfgoed.</t>
  </si>
  <si>
    <t>Het provinciale stedelijke programma in deze Structuurvisie is opgebouwd uit stedelijke programma’s per regio en per gemeente. Deze programma’s zijn in overleg met de (regionaal samenwerkende) gemeenten tot stand gekomen. De Regio’s Utrecht (BRU) en Amersfoort hebben daartoe het ‘Regiodocument BRU’ respectievelijk de ‘Integrale gebiedsuitwerking Eemland, bijstelling 2011’ opgesteld. Specifiek voor bedrijventerreinen worden regionale convenanten vastgesteld waarin afspraken worden gemaakt over de herstructurering van bestaande en de planning van nieuwe bedrijventerreinen (inclusief fasering en segmentering). Wij hebben bij de totstandkoming van de stedelijke programma’s zoveel mogelijk van deze (concept-) documenten gebruik gemaakt. De stedelijke programma’s moeten worden gezien als een ambitie, niet als een harde opgave waarop we regio’s of gemeenten willen ‘afrekenen’. Het vormt het vertrekpunt voor: •voorgenomen monitoring van de voortgang van de woningbouw (inclusief het aandeel binnenstedelijk) en de ontwikkeling van bedrijventerrein; •overleg met gemeenten over de realisatie van de binnenstedelijke ambitie en de eventuele inzet van provinciale instrumenten; •de vierjaarlijkse herijking van het stedelijk programma. Ons provinciaal belang is gelegen in de realisering het woningbouwprogramma op provinciaal niveau, maar daar ligt uiteraard een relatie met de uiteindelijke realisatie op regionaal en gemeentelijk niveau.</t>
  </si>
  <si>
    <t>De bestaande ruimtelijke kwaliteit van onze provincie geeft richting aan de mogelijkheden en onmogelijkheden van ontwikkelingen. Dit speelt vooral in het landelijk gebied, maar heeft ook zijn weerslag op ontwikkelingen in het stedelijk gebied. Cultuurhistorische structuren lopen ook door stedelijk gebied en kernen liggen in landschappen wat op ontwikkelingen, zeker aan de rand van de kern, invloed heeft. De cultuurhistorische en archeologische waarden geven samen een beeld van de ontstaansgeschiedenis van onze provincie. Deze waarden dragen in hoge mate bij aan ruimtelijke kwaliteit en versterken het historisch besef van mensen. We willen eraan bijdragen dat deze waarden zoveel mogelijk behouden blijven en beleefd kunnen worden dankzij informatievoorziening en mogelijkheden voor gebruik en ontwikkeling.</t>
  </si>
  <si>
    <t>Het bodem- en watersysteem vormt een belangrijke basis voor het duurzaam functioneren van het landelijk en stedelijk gebied. Dit systeem is kwetsbaar voor overstromingen, wateroverlast en watertekort. We stimuleren met ons beleid dat bij ontwikkelingen rekening gehouden wordt met kwaliteiten en kwetsbaarheden. De kwetsbaarheden kunnen versterkt worden door klimaatverandering. Hier lopen onderzoeken naar, zoals de diverse nationale Deltaprogramma’s en onderzoeken naar de kwetsbaarheid van de huidige waterwinlocaties (zowel grondwaterwinning, als oppervlaktewaterwinning) en de toekomstige behoefte aan waterwinlocaties. Wij volgen ze, dragen eraan bij en passen er, indien nodig, ons ruimtelijk beleid en de inzet van instrumenten op aan. De waterbeheerders zijn bij de realisatie van het bodem- en waterbeleid een belangrijke partner.</t>
  </si>
  <si>
    <t>Provinciale Ruimtelijke Verordening 2013, kaart 6: Landelijk gebied.</t>
  </si>
  <si>
    <t>Elk Utrechts landschap heeft zijn eigen kwaliteiten die mede richting geven aan de daarin gelegen en omliggende functies en hun ontwikkelingsmogelijkheden. Daarom beschermen wij de kernkwaliteiten van de verschillende landschappen in onze provincie. Deze kernkwaliteiten hebben we aangegeven bij de beschrijving van de afzonderlijke landschappen. Voor elke ontwikkeling in het landelijk gebied moet aansluiting gevonden worden bij de kernkwaliteiten. Voor de open landschappen is dit moeilijker dan voor andere landschappen en zullen er dus meer beperkingen zijn ten aanzien van bijvoorbeeld hoogbouw, vanwege de kwetsbaarheid voor verstoring van de kernkwaliteiten. De meer besloten landschappen vragen om bebouwing die qua maat en schaal passen bij de kernen die in het landelijk gebied gelegen zijn.</t>
  </si>
  <si>
    <t>Provinciale Ruimtelijke Verordening 2013, kaart 5: Verkeer en vervoer.</t>
  </si>
  <si>
    <t>Provinciale Ruimtelijke Verordening 2013, kaart 2: Duurzame energie</t>
  </si>
  <si>
    <t>Provinciale Ruimtelijke Verordening 2013, kaart 10: Landbouw.</t>
  </si>
  <si>
    <t>De begrenzing van bovenlokaal recreatieterrein en stiltegebied is gewijzigd. Op de aangepaste gebieden is het beleid voor bovenlokaal recreatieterrein en stiltegebied van toepassing zoals verwoord in de PRS: NL.IMRO.9926.SV1212PRS-VA01.</t>
  </si>
  <si>
    <t>Provinciale Ruimtelijke Verordening 2013, kaart 4: Wonen en werken.</t>
  </si>
  <si>
    <t>Provinciale Ruimtelijke Verordening 2013, kaart 7: Landschap.</t>
  </si>
  <si>
    <t>In Utrecht is intensieve veehouderij een belangrijke bron van inkomsten voor de landbouw. Het zwaartepunt van de intensieve veehouderij ligt in de Gelderse Vallei. Vanwege de ruimtelijke- en milieuproblematiek in dit gebied is het Reconstructieplan Gelderse Vallei / Utrecht-Oost opgesteld. Het Reconstructieplan, inclusief de Actualisering ervan uit 2010, bepaalt de ontwikkelingsmogelijkheden van de intensieve veehouderij in dit gebied. De PRS heeft de ruimtelijke randvoorwaarden voor het reconstructiegebied uit het Reconstructieplan overgenomen. Bij vaststelling van de PRS kan daarom het Reconstructieplan zelf buiten werking worden gesteld. Het volgende is geregeld: •de reconstructiezonering. in het Reconstructieplan is het reconstructiegebied ingedeeld in landbouwontwikkeling- verwevings- en extensiveringsgebied; •ontwikkelingsmogelijkheden voor intensieve veehouderijbedrijven in de verschillende gebieden. Hiervoor hebben we beleid voor maximale omvang van bouwpercelen. Op het bouwperceel van niet grondgebonden veehouderij is voor bedrijfsgebouwen maximaal 1 bouwlaag mogelijk. Dit geldt voor het gehele landelijk gebied van de provincie Utrecht.</t>
  </si>
  <si>
    <t>Provinciale Ruimtelijke Verordening 2013, kaart 8: Natuur.</t>
  </si>
  <si>
    <t>De provincie Utrecht heeft een aantrekkelijke basis voor recreatie en toerisme. We hebben veel te bieden: uitstekende voorzieningen (winkels en musea) in diverse steden, aantrekkelijk cultureel erfgoed en een gevarieerd landschap met plassen, veengebieden, waarden en grote bos- en natuurgebieden. In de provincie ligt ook een uitgebreid recreatief netwerk van wandel- en fietspaden met recreatieconcentratiepunten. De bereikbaarheid van het landelijk gebied vanuit het stedelijk gebied vinden wij belangrijk. Daarnaast zetten wij ons in voor behoud van het bestaande provinciale en landelijke routenetwerk en de knelpunten hierin. We streven naar meer samenhang in de totale recreatieve structuur en in verbindingen tussen bestaande recreatiegebieden. Wij nemen dit mee in gebiedsprojecten in bijvoorbeeld AVP-kader. We richten ons ook op het versterken van de samenhang tussen de verschillende recreatieve routenetwerken door de ontwikkeling van toeristische overstappunten en recreatieve poorten.</t>
  </si>
  <si>
    <t>Wonen:Wij hebben een programma van 68.000 woningen opgenomen in de PRS. Ruim 80 % van dit programma kan worden gerealiseerd binnen de rode contouren. Daarmee voldoen we aan onze ambitie om ten minste twee derde deel in het bestaand stedelijk gebied (binnen de rode contouren) te realiseren.Werken: De provincie Utrecht heeft economisch gezien een sterke uitgangspositie. Om deze positie te behouden en nieuwe kansen te benutten, is onze (ruimtelijk-)economische strategie voor de komende jaren gericht op: •Het versterken van die bedrijfssectoren die veel gebruikmaken van kennis en creativiteit (life sciences, creatieve industrie en duurzaamheidseconomie); •Het zoveel als mogelijk accommoderen van de dynamiek van de al in onze provincie gevestigde bedrijven.Kantoren:Wij willen op de kantorenmarkt vraag en aanbod zoveel mogelijk in evenwicht brengen, zowel kwantitatief als kwalitatief. Op dit moment staat er veel kantoorruimte leeg, een groot deel van de leegstand is structureel. Bovendien is er nog een grote – nog niet gerealiseerde - plancapaciteit. Daarom geven we in principe geen ruimte voor nieuwe, nog niet gerealiseerde, kantorenlocaties. Wij spannen ons actief in om de nog niet benutte plancapaciteit terug te dringen.</t>
  </si>
  <si>
    <t>Om de kwaliteit en vitaliteit van het landelijk gebied te kunnen behouden voeren wij een terughoudend beleid als het gaat om de ontwikkeling van niet aan het landelijk gebied gekoppelde functies. Slechts onder voorwaarden, met name ten aanzien van de kwaliteit van het landelijk gebied en van de vitaliteit van al aanwezige functies zijn ontwikkelingen van niet landelijk gebied functies aanvaardbaar.</t>
  </si>
  <si>
    <t>Provinciale Ruimtelijke Verordening 2013, kaart 9: Recreatie.</t>
  </si>
  <si>
    <t>Provinciale Ruimtelijke Verordening 2013, kaart 1: Bodem en water.</t>
  </si>
  <si>
    <t>Indicatieve planning ten behoeve van het onderhoud van provinciale wegen 2015 t/m 2025.</t>
  </si>
  <si>
    <t>Deze kaarten laten gebieden en locaties zien met een bepaalde natuurkwaliteit. Ze zijn gebaseerd op de waarnemingen van flora en fauna die in opdracht van de provincie jaarlijks worden verzameld. Prioritaire biodiversiteitsgebieden zijn gebieden die samengesteld zijn op basis van concentraties van uitstekende kwaliteit danwel van hoge aantallen rode- en / of oranje lijstsoorten. Hierbij is de begrenzing van het gebied mede bepaald door locaties van goede kwaliteit en de ligging van potentiële botanische toppers. Biodiversiteitsgebieden van tweede prioriteit zijn gebieden die samengesteld zijn op basis van concentraties van goede kwaliteit.</t>
  </si>
  <si>
    <t>Biodiversiteit. Prioritaire biodiversiteitsgebieden zijn gebieden die samengesteld zijn op basis van concentraties van uitstekende kwaliteit danwel van hoge aantallen rode- en / of oranje lijstsoorten. Hierbij is de begrenzing van het gebied mede bepaald door locaties van goede kwaliteit en de ligging van potentiële botanische toppers. Biodiversiteitsgebieden van tweede prioriteit zijn gebieden die samengesteld zijn op basis van concentraties van goede kwaliteit. De biodiversiteitskaart is voorgelegd aan een aantal externe deskundigen, wat nog een aantal aanvullingen van locaties opleverde.</t>
  </si>
  <si>
    <t>Digitale cultuurhistorische atlas van de Provincie Utrecht (CHAT), monumenten (Monumenten Inventarisatie Project - MIP).</t>
  </si>
  <si>
    <t>Tussen de steden moet ruimte blijven voor recreatieve uitloopmogelijkheden. Provincie Utrecht wil voorkomen dat steden aaneen groeien. Hierop zijn de bovenlokale recreatiezones gericht. Om gericht tot een visie te komen zijn in een aantal interne en externe workshops de zonering (rustig, gemoedelijk, levendig) per deelgebied bepaald.</t>
  </si>
  <si>
    <t>DINO-gegevens van NO3 in grondwater 1900-2006</t>
  </si>
  <si>
    <t>DINO-gegevens van pH in grondwater 2006</t>
  </si>
  <si>
    <t>Risico op fluxverandering kwel-/infiltratie bij vergraving (deel) deklaag. In klasse I en II is zeker kans op toename van kwel of infiltratie-flux, bij klasse III en IV moet onderzoek gedaan worden naar dit risico.</t>
  </si>
  <si>
    <t>Meetresultaten grondwatermeetnet provincie Utrecht 2003 voor diverse stoffen</t>
  </si>
  <si>
    <t>Kritische depositiewaarden van stikstof voor de habitattypen van Natura 2000-gebieden en Beschermde Natuurmonumenten in de provincie Utrecht.</t>
  </si>
  <si>
    <t>Deze dataset bevat de locaties waar zich meshtrack onder het asfalt bevindt, tevens wordt een range van diepte weergegeven.</t>
  </si>
  <si>
    <t>Poorten, Toeristische Overstap Punten (TOP), attractiepunten, Groene Entrees en Routepunten in de provincie Utrecht.</t>
  </si>
  <si>
    <t>Waterparels zijn aquatisch waardevolle wateren. Het beleid over de Waterparels is opgenomen in het Waterplan.</t>
  </si>
  <si>
    <t>Clusters (omtreklijn) gebaseerd op woningen binnen jaargemiddelde PM10-concentratie in microgram/m3 rijkswegen. Per cluster zijn de aantallen woningen en gevoelige bestemmingen per GES-score geteld. Bij de gevoelige bestemmingen is onderscheid gemaakt in 3 categorien: Ziekenhuizen, Scholen en dagverblijven voor jeugd, Verpleeg en verzorgingshuizen.</t>
  </si>
  <si>
    <t>Beheergrens langs de provinciale wegen (N-wegen). Vormt samen met de tekstpunten behorend bij de beheergrens het totaaloverzicht van de beheergrens van de provinciale wegen.</t>
  </si>
  <si>
    <t>Alle bushaltes in de Provincie Utrecht, zowel van de Provincie als van de gemeenten.</t>
  </si>
  <si>
    <t>De dataset bevat de samengevoegde geluidcontouren van de provinciale wegen van de Provincie Utrecht uit de 2e tranche EU-richtlijn omgevingslawaai (peiljaar 2011). De geluidsbelastingkaarten zijn geldig voor peiljaar 2011 en geven alleen de berekeningen i.k.v. de EU-richtlijn omgevingslawaai voor de provinciale wegen van Utrecht weer.</t>
  </si>
  <si>
    <t>In de aangegeven gebieden is geothermie niet strijdig met het provinciaal belang zoals is aangegeven in de kadernota ondergrond.</t>
  </si>
  <si>
    <t>De economische haalbaarheid (rentabiliteit) wordt gedefinieerd als de maximaal toegestane prijs minus transportkosten en kostprijs warmte van desbetreffende bron.Voor het bepalen van de economische haalbaarheid van warmtebronnen i.c.m. met warmtevraag zijn een aantal aannames gedaan wat betreft investeringen voor het uitkoppelen van warmte uit elk van de bronnen. Alle euro???s zijn jaarlijks; investeringen worden jaarlijks en netto contant gemaakt met de volgende parameters:???	Investeringen gebiedsgebonden net: rendementseis 8%, looptijd 30 jaar???	Investeringen transportnet (van warmtebron naar gebieden/ clusters): rendementseis 12%, looptijd 30 jaar. De rendementseis ligt hier hoger vanwege een hoger risico op lage warmteafzet in het begin van het project (het komt vaak voor dat nog niet alle woningen in het begin zijn aangesloten op de transportleiding).???	Investeringen warmtebronnen: rendementseis 8%, looptijd 15 jaar</t>
  </si>
  <si>
    <t>In de aangegeven gebieden is geothermie strijdig met het provinciaal belang zoals is aangegeven in de kadernota ondergrond.</t>
  </si>
  <si>
    <t>Regimesnelheden op de provinciale wegen</t>
  </si>
  <si>
    <t>De dataset bevat de Lden geluidcontouren van de provinciale wegen van de Provincie Utrecht uit de 2e tranche EU-richtlijn omgevingslawaai (peiljaar 2011). Het betreft de wegen met jaarlijkse intensiteit onder de 3 miljoen motorvoertuigen.De geluidsbelastingkaarten zijn geldig voor peiljaar 2011 en geven alleen de berekeningen i.k.v. de EU-richtlijn omgevingslawaai voor de provinciale wegen van Utrecht weer.</t>
  </si>
  <si>
    <t>De dataset bevat de  Lnight geluidcontouren van de provinciale wegen van de Provincie Utrecht uit de 2e tranche EU-richtlijn omgevingslawaai (peiljaar 2011). Het betreft de wegen met jaarlijkse intensiteit onder de 3 miljoen motorvoertuigen.De geluidsbelastingkaarten zijn geldig voor peiljaar 2011 en geven alleen de berekeningen i.k.v. de EU-richtlijn omgevingslawaai voor de provinciale wegen van Utrecht weer.</t>
  </si>
  <si>
    <t>De dataset bevat de  Lnight geluidcontouren van de provinciale wegen van de Provincie Utrecht uit de 2e tranche EU-richtlijn omgevingslawaai (peiljaar 2011). Het betreft de wegen met jaarlijkse intensiteit =&gt; 3.De geluidsbelastingkaarten zijn geldig voor peiljaar 2011 en geven alleen de berekeningen i.k.v. de EU-richtlijn omgevingslawaai voor de provinciale wegen van Utrecht weer.</t>
  </si>
  <si>
    <t>Weergegeven worden de grenzen van de bebouwde kommen welke gelden volgens de wegenwet en vastgesteld zijn door G.S.</t>
  </si>
  <si>
    <t>Digitale cultuurhistorische atlas van de Provincie Utrecht (CHAT), deelgebieden.</t>
  </si>
  <si>
    <t>Doortrek- en versigingsgebied voor edelhert zoals is vastgelegd vastgesteld door provinciale staten op29 september 2014 de in Beleidsnota Flora- en faunawet 2014.</t>
  </si>
  <si>
    <t>De rotonde doseer installaties van de Provincie Utrecht</t>
  </si>
  <si>
    <t>Overzicht van de provinciale wegen.</t>
  </si>
  <si>
    <t>1 decimeter interval isohypsen freatisch pakket</t>
  </si>
  <si>
    <t>Lijnen van gelijke grondwaterstijghoogte, 25 cm afstand, 2e watervoerend pakket, gemiddelde situatie periode 1990-2006</t>
  </si>
  <si>
    <t>Lijnen van gelijke grondwaterstijghoogte, 10 cm onderlinge afstand, 1e watervoerend pakket B, gemiddelde situatie periode 1990-2007</t>
  </si>
  <si>
    <t>Lijnen van gelijke grondwaterstijghoogte, 25 cm afstand, 1e watervoerend pakket, gemiddelde situatie periode 1990-2006</t>
  </si>
  <si>
    <t>Lijnen van gelijke grondwaterstijghoogte, 25 cm onderlinge afstand, 1e watervoerend pakket B, gemiddelde situatie periode 1990-2007</t>
  </si>
  <si>
    <t>Lijnen van gelijke grondwaterstijghoogte, 1 m onderlinge afstand, freatisch pakket, gemiddelde situatie periode 1990-2007</t>
  </si>
  <si>
    <t>Situering natuurgebieden die zeer kwetsbaar zijn voor veranderingen in het grondwater</t>
  </si>
  <si>
    <t>Soortenrijkdom grondwaterafhankelijke waterplanten per kilometerhok</t>
  </si>
  <si>
    <t>1 meter interval isohypsen eerste watervoerend pakket</t>
  </si>
  <si>
    <t>Soortenrijkdom voedselrijke schoonwaterplanten per kilometerhok</t>
  </si>
  <si>
    <t>Soortenrijkdom grondwaterafhankelijke moerasplanten per kilometerhok</t>
  </si>
  <si>
    <t>Soortenrijkdom: voedselarme moerasplanten per kilometerhok</t>
  </si>
  <si>
    <t>Soortenrijkdom voedselarme schoonwaterplanten per kilometerhok</t>
  </si>
  <si>
    <t>De dataset bevat de 50 dB, 55 dB, 60 dB, 65 dB en 70 dB Lnight geluidcontouren van de provinciale wegen van de Provincie Utrecht uit de 2e tranche EU-richtlijn omgevingslawaai (peiljaar 2006). Het betreft de wegen met jaarlijkse intensiteit tussen 3 en 6 miljoen motorvoertuigen.De geluidsbelastingkaarten zijn geldig voor peiljaar 2006 en geven alleen de berekeningen i.k.v. de EU-richtlijn omgevingslawaai voor de provinciale wegen van Utrecht weer.</t>
  </si>
  <si>
    <t>De dataset bevat de 55 dB, 60 dB, 65 dB en 70 dB Lden geluidcontouren van de provinciale wegen van de Provincie Utrecht uit de 2e tranche EU-richtlijn omgevingslawaai (peiljaar 2006). Het betreft de wegen met jaarlijkse intensiteit tussen 3 en 6 miljoen motorvoertuigen.De geluidsbelastingkaarten zijn geldig voor peiljaar 2006 en geven alleen de berekeningen i.k.v. de EU-richtlijn omgevingslawaai voor de provinciale wegen van Utrecht weer.</t>
  </si>
  <si>
    <t>De dataset bevat de 55 dB, 60 dB, 65 dB en 70 dB Lden geluidcontouren van de provinciale wegen van de Provincie Utrecht uit de 1e tranche EU-richtlijn omgevingslawaai (peiljaar 2006). Het betreft de wegen met jaarlijkse intensiteit van &gt;6 miljoen motorvoertuigen.De geluidsbelastingkaarten zijn geldig voor peiljaar 2006 en geven alleen de berekeningen i.k.v. de EU-richtlijn omgevingslawaai voor de provinciale wegen van Utrecht weer.</t>
  </si>
  <si>
    <t>dataset bevat de 50 dB, 55 dB, 60 dB, 65 dB en 70 dB Lnight geluidcontouren van de provinciale wegen van de Provincie Utrecht uit de 1e tranche EU-richtlijn omgevingslawaai (peiljaar 2006). Het betreft de wegen met jaarlijkse intensiteit van &gt;6 miljoen motorvoertuigen.geluidsbelastingkaarten zijn geldig voor peiljaar 2006 en geven alleen de berekeningen i.k.v. de EU-richtlijn omgevingslawaai voor de provinciale wegen van Utrecht weer.</t>
  </si>
  <si>
    <t>Een Fysisch-Geografische Eenheid wordt gekenmerkt door een specifieke combinatie van geologie/ geomorfologie: bodem; grond- en oppervlaktewater.</t>
  </si>
  <si>
    <t>Inventarisatie sheet DATA.OVERHEID.NL</t>
  </si>
  <si>
    <t xml:space="preserve">Inventariserende organisatie: </t>
  </si>
  <si>
    <t xml:space="preserve">Contactpersoon organisatie: </t>
  </si>
  <si>
    <t xml:space="preserve">Datum: </t>
  </si>
  <si>
    <t>Provincie</t>
  </si>
  <si>
    <t>Aantal databronnen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</si>
</sst>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sz val="12"/>
      <color indexed="8"/>
      <name val="Calibri"/>
      <family val="2"/>
    </font>
    <font>
      <b/>
      <sz val="14"/>
      <color indexed="9"/>
      <name val="Calibri"/>
      <family val="2"/>
    </font>
    <font>
      <b/>
      <sz val="18"/>
      <color theme="1"/>
      <name val="Calibri"/>
      <family val="2"/>
      <scheme val="minor"/>
    </font>
  </fonts>
  <fills count="9">
    <fill>
      <patternFill patternType="none"/>
    </fill>
    <fill>
      <patternFill patternType="gray125"/>
    </fill>
    <fill>
      <patternFill patternType="solid">
        <fgColor indexed="59"/>
        <bgColor indexed="60"/>
      </patternFill>
    </fill>
    <fill>
      <patternFill patternType="solid">
        <fgColor indexed="9"/>
        <bgColor indexed="8"/>
      </patternFill>
    </fill>
    <fill>
      <patternFill patternType="solid">
        <fgColor indexed="63"/>
        <bgColor indexed="60"/>
      </patternFill>
    </fill>
    <fill>
      <patternFill patternType="solid">
        <fgColor indexed="21"/>
        <bgColor indexed="21"/>
      </patternFill>
    </fill>
    <fill>
      <patternFill patternType="solid">
        <fgColor indexed="62"/>
        <bgColor indexed="60"/>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3">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2" fillId="5" borderId="2" xfId="0" applyNumberFormat="1" applyFont="1" applyFill="1" applyBorder="1" applyAlignment="1" applyProtection="1">
      <alignment horizontal="left" vertical="top" wrapText="1"/>
    </xf>
    <xf numFmtId="0" fontId="1" fillId="6"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3" fillId="7" borderId="0" xfId="0" applyFont="1" applyFill="1" applyAlignment="1"/>
    <xf numFmtId="0" fontId="0" fillId="8" borderId="0" xfId="0" applyNumberFormat="1" applyFont="1" applyFill="1" applyBorder="1" applyAlignment="1" applyProtection="1">
      <alignment horizontal="left" vertical="top" wrapText="1"/>
    </xf>
    <xf numFmtId="0" fontId="0" fillId="7" borderId="0" xfId="0" applyFill="1" applyAlignment="1"/>
    <xf numFmtId="0" fontId="0" fillId="7" borderId="0" xfId="0" applyFill="1" applyBorder="1" applyAlignment="1"/>
  </cellXfs>
  <cellStyles count="1">
    <cellStyle name="Standaard" xfId="0" builtinId="0"/>
  </cellStyles>
  <dxfs count="1">
    <dxf>
      <fill>
        <patternFill patternType="solid">
          <fgColor rgb="FFF89800"/>
          <bgColor rgb="FF00908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EEEEEE"/>
      <rgbColor rgb="00009080"/>
      <rgbColor rgb="00C7C7C7"/>
      <rgbColor rgb="00F8980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2"/>
  <sheetViews>
    <sheetView tabSelected="1" topLeftCell="A100" zoomScale="85" zoomScaleNormal="85" zoomScaleSheetLayoutView="1" workbookViewId="0">
      <selection activeCell="A6" sqref="A6"/>
    </sheetView>
  </sheetViews>
  <sheetFormatPr defaultColWidth="11.453125" defaultRowHeight="12.5"/>
  <cols>
    <col min="1" max="1" width="4.54296875" style="1" customWidth="1"/>
    <col min="2" max="2" width="38" style="1" bestFit="1" customWidth="1"/>
    <col min="3" max="3" width="60.81640625" style="1" bestFit="1" customWidth="1"/>
    <col min="4" max="4" width="38" style="1" bestFit="1" customWidth="1"/>
    <col min="5" max="6" width="34.26953125" style="1" bestFit="1" customWidth="1"/>
    <col min="7" max="7" width="91.26953125" style="1" customWidth="1"/>
    <col min="8" max="8" width="15.1796875" style="1" customWidth="1"/>
    <col min="9" max="9" width="6.54296875" style="1" customWidth="1"/>
    <col min="10" max="10" width="22.81640625" style="1" customWidth="1"/>
    <col min="11" max="11" width="45.54296875" style="1" customWidth="1"/>
    <col min="12" max="14" width="22.81640625" style="1" customWidth="1"/>
    <col min="15" max="16" width="15.1796875" style="1" bestFit="1" customWidth="1"/>
    <col min="17" max="17" width="68.453125" style="1" bestFit="1" customWidth="1"/>
    <col min="18" max="16384" width="11.453125" style="1"/>
  </cols>
  <sheetData>
    <row r="1" spans="1:17" ht="23.5">
      <c r="A1" s="9" t="s">
        <v>368</v>
      </c>
      <c r="B1" s="10"/>
      <c r="C1" s="10"/>
      <c r="D1" s="10"/>
      <c r="E1" s="10"/>
      <c r="F1" s="10"/>
      <c r="G1" s="10"/>
      <c r="H1" s="10"/>
      <c r="I1" s="10"/>
      <c r="J1" s="10"/>
      <c r="K1" s="10"/>
      <c r="L1" s="10"/>
      <c r="M1" s="10"/>
      <c r="N1" s="10"/>
      <c r="O1" s="10"/>
      <c r="P1" s="10"/>
      <c r="Q1" s="10"/>
    </row>
    <row r="2" spans="1:17">
      <c r="A2" s="10"/>
      <c r="B2" s="10"/>
      <c r="C2" s="10"/>
      <c r="D2" s="10"/>
      <c r="E2" s="10"/>
      <c r="F2" s="10"/>
      <c r="G2" s="10"/>
      <c r="H2" s="10"/>
      <c r="I2" s="10"/>
      <c r="J2" s="10"/>
      <c r="K2" s="10"/>
      <c r="L2" s="10"/>
      <c r="M2" s="10"/>
      <c r="N2" s="10"/>
      <c r="O2" s="10"/>
      <c r="P2" s="10"/>
      <c r="Q2" s="10"/>
    </row>
    <row r="3" spans="1:17">
      <c r="A3" s="11" t="s">
        <v>369</v>
      </c>
      <c r="B3" s="12"/>
      <c r="C3" s="10"/>
      <c r="D3" s="12" t="s">
        <v>370</v>
      </c>
      <c r="E3" s="10"/>
      <c r="F3" s="11" t="s">
        <v>371</v>
      </c>
      <c r="G3" s="12"/>
      <c r="H3" s="11"/>
      <c r="I3" s="10"/>
      <c r="J3" s="10"/>
      <c r="K3" s="10"/>
      <c r="L3" s="10"/>
      <c r="M3" s="10"/>
      <c r="N3" s="10"/>
      <c r="O3" s="10"/>
      <c r="P3" s="10"/>
      <c r="Q3" s="10"/>
    </row>
    <row r="4" spans="1:17">
      <c r="A4" s="10"/>
      <c r="B4" s="10"/>
      <c r="C4" s="10"/>
      <c r="D4" s="10"/>
      <c r="E4" s="10"/>
      <c r="F4" s="10"/>
      <c r="G4" s="10"/>
      <c r="H4" s="10"/>
      <c r="I4" s="10"/>
      <c r="J4" s="10"/>
      <c r="K4" s="10"/>
      <c r="L4" s="10"/>
      <c r="M4" s="10"/>
      <c r="N4" s="10"/>
      <c r="O4" s="10"/>
      <c r="P4" s="10"/>
      <c r="Q4" s="10"/>
    </row>
    <row r="5" spans="1:17" ht="37">
      <c r="A5" s="6" t="s">
        <v>0</v>
      </c>
      <c r="B5" s="6" t="s">
        <v>1</v>
      </c>
      <c r="C5" s="6" t="s">
        <v>2</v>
      </c>
      <c r="D5" s="6" t="s">
        <v>3</v>
      </c>
      <c r="E5" s="6" t="s">
        <v>4</v>
      </c>
      <c r="F5" s="6" t="s">
        <v>5</v>
      </c>
      <c r="G5" s="6" t="s">
        <v>6</v>
      </c>
      <c r="H5" s="6" t="s">
        <v>7</v>
      </c>
      <c r="I5" s="6" t="s">
        <v>8</v>
      </c>
      <c r="J5" s="6" t="s">
        <v>9</v>
      </c>
      <c r="K5" s="6" t="s">
        <v>10</v>
      </c>
      <c r="L5" s="6" t="s">
        <v>11</v>
      </c>
      <c r="M5" s="6" t="s">
        <v>12</v>
      </c>
      <c r="N5" s="6" t="s">
        <v>13</v>
      </c>
      <c r="O5" s="6" t="s">
        <v>373</v>
      </c>
      <c r="P5" s="6" t="s">
        <v>14</v>
      </c>
      <c r="Q5" s="6" t="s">
        <v>15</v>
      </c>
    </row>
    <row r="6" spans="1:17" ht="31">
      <c r="A6" s="5">
        <v>13</v>
      </c>
      <c r="B6" s="8" t="s">
        <v>16</v>
      </c>
      <c r="C6" s="5" t="str">
        <f>HYPERLINK("http://data.overheid.nl/data/dataset/ontwikkeling-bebouwing-bebouwingslint-1850","Ontwikkeling bebouwing - bebouwingslint 1850")</f>
        <v>Ontwikkeling bebouwing - bebouwingslint 1850</v>
      </c>
      <c r="D6" s="8" t="s">
        <v>17</v>
      </c>
      <c r="E6" s="5" t="s">
        <v>18</v>
      </c>
      <c r="F6" s="2" t="s">
        <v>372</v>
      </c>
      <c r="G6" s="5" t="s">
        <v>38</v>
      </c>
      <c r="H6" s="8" t="s">
        <v>21</v>
      </c>
      <c r="I6" s="5" t="s">
        <v>22</v>
      </c>
      <c r="J6" s="7" t="s">
        <v>39</v>
      </c>
      <c r="K6" s="3" t="s">
        <v>19</v>
      </c>
      <c r="L6" s="8" t="s">
        <v>24</v>
      </c>
      <c r="M6" s="5" t="s">
        <v>25</v>
      </c>
      <c r="N6" s="2" t="s">
        <v>26</v>
      </c>
      <c r="O6" s="5">
        <v>2</v>
      </c>
      <c r="P6" s="2"/>
      <c r="Q6" s="5"/>
    </row>
    <row r="7" spans="1:17" ht="31">
      <c r="A7" s="5">
        <v>14</v>
      </c>
      <c r="B7" s="8" t="s">
        <v>16</v>
      </c>
      <c r="C7" s="5" t="str">
        <f>HYPERLINK("http://data.overheid.nl/data/dataset/ontwikkeling-bebouwing-1000-2002","Ontwikkeling bebouwing 1000 - 2002")</f>
        <v>Ontwikkeling bebouwing 1000 - 2002</v>
      </c>
      <c r="D7" s="8" t="s">
        <v>17</v>
      </c>
      <c r="E7" s="5" t="s">
        <v>18</v>
      </c>
      <c r="F7" s="2" t="s">
        <v>372</v>
      </c>
      <c r="G7" s="5" t="s">
        <v>40</v>
      </c>
      <c r="H7" s="8" t="s">
        <v>21</v>
      </c>
      <c r="I7" s="5" t="s">
        <v>22</v>
      </c>
      <c r="J7" s="7" t="s">
        <v>39</v>
      </c>
      <c r="K7" s="3" t="s">
        <v>19</v>
      </c>
      <c r="L7" s="8" t="s">
        <v>24</v>
      </c>
      <c r="M7" s="5" t="s">
        <v>25</v>
      </c>
      <c r="N7" s="2" t="s">
        <v>26</v>
      </c>
      <c r="O7" s="5">
        <v>2</v>
      </c>
      <c r="P7" s="2"/>
      <c r="Q7" s="5"/>
    </row>
    <row r="8" spans="1:17" ht="15.5">
      <c r="A8" s="5">
        <v>16</v>
      </c>
      <c r="B8" s="8" t="s">
        <v>16</v>
      </c>
      <c r="C8" s="5" t="str">
        <f>HYPERLINK("http://data.overheid.nl/data/dataset/werklocaties-bedrijven","Werklocaties - bedrijven")</f>
        <v>Werklocaties - bedrijven</v>
      </c>
      <c r="D8" s="8" t="s">
        <v>17</v>
      </c>
      <c r="E8" s="5" t="s">
        <v>18</v>
      </c>
      <c r="F8" s="2" t="s">
        <v>372</v>
      </c>
      <c r="G8" s="5" t="s">
        <v>42</v>
      </c>
      <c r="H8" s="8" t="s">
        <v>21</v>
      </c>
      <c r="I8" s="5" t="s">
        <v>22</v>
      </c>
      <c r="J8" s="7" t="s">
        <v>39</v>
      </c>
      <c r="K8" s="3" t="s">
        <v>19</v>
      </c>
      <c r="L8" s="8" t="s">
        <v>24</v>
      </c>
      <c r="M8" s="5" t="s">
        <v>25</v>
      </c>
      <c r="N8" s="2" t="s">
        <v>26</v>
      </c>
      <c r="O8" s="5">
        <v>2</v>
      </c>
      <c r="P8" s="2"/>
      <c r="Q8" s="5"/>
    </row>
    <row r="9" spans="1:17" ht="31">
      <c r="A9" s="5">
        <v>18</v>
      </c>
      <c r="B9" s="8" t="s">
        <v>16</v>
      </c>
      <c r="C9" s="5" t="str">
        <f>HYPERLINK("http://data.overheid.nl/data/dataset/kleine-landschappelijke-elementen-kle-waarden-vlakken","Kleine Landschappelijke Elementen (KLE) - waarden (vlakken)")</f>
        <v>Kleine Landschappelijke Elementen (KLE) - waarden (vlakken)</v>
      </c>
      <c r="D9" s="8" t="s">
        <v>17</v>
      </c>
      <c r="E9" s="5" t="s">
        <v>18</v>
      </c>
      <c r="F9" s="2" t="s">
        <v>372</v>
      </c>
      <c r="G9" s="5" t="s">
        <v>44</v>
      </c>
      <c r="H9" s="8" t="s">
        <v>21</v>
      </c>
      <c r="I9" s="5" t="s">
        <v>22</v>
      </c>
      <c r="J9" s="7" t="s">
        <v>39</v>
      </c>
      <c r="K9" s="3" t="s">
        <v>19</v>
      </c>
      <c r="L9" s="8" t="s">
        <v>24</v>
      </c>
      <c r="M9" s="5" t="s">
        <v>25</v>
      </c>
      <c r="N9" s="2" t="s">
        <v>26</v>
      </c>
      <c r="O9" s="5">
        <v>2</v>
      </c>
      <c r="P9" s="2"/>
      <c r="Q9" s="5"/>
    </row>
    <row r="10" spans="1:17" ht="31">
      <c r="A10" s="5">
        <v>19</v>
      </c>
      <c r="B10" s="8" t="s">
        <v>16</v>
      </c>
      <c r="C10" s="5" t="str">
        <f>HYPERLINK("http://data.overheid.nl/data/dataset/kleine-landschappelijke-elementen-kle-waarden-punten","Kleine Landschappelijke Elementen (KLE) - waarden (punten)")</f>
        <v>Kleine Landschappelijke Elementen (KLE) - waarden (punten)</v>
      </c>
      <c r="D10" s="8" t="s">
        <v>17</v>
      </c>
      <c r="E10" s="5" t="s">
        <v>18</v>
      </c>
      <c r="F10" s="2" t="s">
        <v>372</v>
      </c>
      <c r="G10" s="5" t="s">
        <v>45</v>
      </c>
      <c r="H10" s="8" t="s">
        <v>21</v>
      </c>
      <c r="I10" s="5" t="s">
        <v>22</v>
      </c>
      <c r="J10" s="7" t="s">
        <v>39</v>
      </c>
      <c r="K10" s="3" t="s">
        <v>19</v>
      </c>
      <c r="L10" s="8" t="s">
        <v>24</v>
      </c>
      <c r="M10" s="5" t="s">
        <v>25</v>
      </c>
      <c r="N10" s="2" t="s">
        <v>26</v>
      </c>
      <c r="O10" s="5">
        <v>2</v>
      </c>
      <c r="P10" s="2"/>
      <c r="Q10" s="5"/>
    </row>
    <row r="11" spans="1:17" ht="325.5">
      <c r="A11" s="5">
        <v>21</v>
      </c>
      <c r="B11" s="8" t="s">
        <v>16</v>
      </c>
      <c r="C11" s="5" t="str">
        <f>HYPERLINK("http://data.overheid.nl/data/dataset/cultuurhistorische-atlas-provincie-utrecht-chat-forten","Cultuurhistorische Atlas Provincie Utrecht (CHAT) - Forten")</f>
        <v>Cultuurhistorische Atlas Provincie Utrecht (CHAT) - Forten</v>
      </c>
      <c r="D11" s="8" t="s">
        <v>17</v>
      </c>
      <c r="E11" s="5" t="s">
        <v>18</v>
      </c>
      <c r="F11" s="2" t="s">
        <v>372</v>
      </c>
      <c r="G11" s="5" t="s">
        <v>48</v>
      </c>
      <c r="H11" s="8" t="s">
        <v>21</v>
      </c>
      <c r="I11" s="5" t="s">
        <v>22</v>
      </c>
      <c r="J11" s="7" t="s">
        <v>39</v>
      </c>
      <c r="K11" s="3" t="s">
        <v>19</v>
      </c>
      <c r="L11" s="8" t="s">
        <v>24</v>
      </c>
      <c r="M11" s="5" t="s">
        <v>25</v>
      </c>
      <c r="N11" s="2" t="s">
        <v>26</v>
      </c>
      <c r="O11" s="5">
        <v>0</v>
      </c>
      <c r="P11" s="2"/>
      <c r="Q11" s="5"/>
    </row>
    <row r="12" spans="1:17" ht="15.5">
      <c r="A12" s="5">
        <v>23</v>
      </c>
      <c r="B12" s="8" t="s">
        <v>16</v>
      </c>
      <c r="C12" s="5" t="str">
        <f>HYPERLINK("http://data.overheid.nl/data/dataset/geluidcontouren-provinciale-wegen-2000","Geluidcontouren provinciale wegen 2000")</f>
        <v>Geluidcontouren provinciale wegen 2000</v>
      </c>
      <c r="D12" s="8" t="s">
        <v>17</v>
      </c>
      <c r="E12" s="5" t="s">
        <v>18</v>
      </c>
      <c r="F12" s="2" t="s">
        <v>372</v>
      </c>
      <c r="G12" s="5" t="s">
        <v>50</v>
      </c>
      <c r="H12" s="8" t="s">
        <v>21</v>
      </c>
      <c r="I12" s="5" t="s">
        <v>22</v>
      </c>
      <c r="J12" s="7" t="s">
        <v>39</v>
      </c>
      <c r="K12" s="3" t="s">
        <v>19</v>
      </c>
      <c r="L12" s="8" t="s">
        <v>24</v>
      </c>
      <c r="M12" s="5" t="s">
        <v>25</v>
      </c>
      <c r="N12" s="2" t="s">
        <v>26</v>
      </c>
      <c r="O12" s="5">
        <v>2</v>
      </c>
      <c r="P12" s="2"/>
      <c r="Q12" s="5"/>
    </row>
    <row r="13" spans="1:17" ht="62">
      <c r="A13" s="5">
        <v>25</v>
      </c>
      <c r="B13" s="8" t="s">
        <v>16</v>
      </c>
      <c r="C13" s="5" t="str">
        <f>HYPERLINK("http://data.overheid.nl/data/dataset/ganzenrustgebieden","Ganzenrustgebieden")</f>
        <v>Ganzenrustgebieden</v>
      </c>
      <c r="D13" s="8" t="s">
        <v>17</v>
      </c>
      <c r="E13" s="5" t="s">
        <v>18</v>
      </c>
      <c r="F13" s="2" t="s">
        <v>372</v>
      </c>
      <c r="G13" s="5" t="s">
        <v>52</v>
      </c>
      <c r="H13" s="8" t="s">
        <v>21</v>
      </c>
      <c r="I13" s="5" t="s">
        <v>22</v>
      </c>
      <c r="J13" s="7" t="s">
        <v>39</v>
      </c>
      <c r="K13" s="3" t="s">
        <v>19</v>
      </c>
      <c r="L13" s="8" t="s">
        <v>24</v>
      </c>
      <c r="M13" s="5" t="s">
        <v>25</v>
      </c>
      <c r="N13" s="2" t="s">
        <v>26</v>
      </c>
      <c r="O13" s="5">
        <v>2</v>
      </c>
      <c r="P13" s="2"/>
      <c r="Q13" s="5"/>
    </row>
    <row r="14" spans="1:17" ht="15.5">
      <c r="A14" s="5">
        <v>35</v>
      </c>
      <c r="B14" s="8" t="s">
        <v>16</v>
      </c>
      <c r="C14" s="5" t="str">
        <f>HYPERLINK("http://data.overheid.nl/data/dataset/recreatieschappen","Recreatieschappen")</f>
        <v>Recreatieschappen</v>
      </c>
      <c r="D14" s="8" t="s">
        <v>17</v>
      </c>
      <c r="E14" s="5" t="s">
        <v>18</v>
      </c>
      <c r="F14" s="2" t="s">
        <v>372</v>
      </c>
      <c r="G14" s="5" t="s">
        <v>62</v>
      </c>
      <c r="H14" s="8" t="s">
        <v>21</v>
      </c>
      <c r="I14" s="5" t="s">
        <v>22</v>
      </c>
      <c r="J14" s="7" t="s">
        <v>39</v>
      </c>
      <c r="K14" s="3" t="s">
        <v>19</v>
      </c>
      <c r="L14" s="8" t="s">
        <v>24</v>
      </c>
      <c r="M14" s="5" t="s">
        <v>25</v>
      </c>
      <c r="N14" s="2" t="s">
        <v>26</v>
      </c>
      <c r="O14" s="5">
        <v>2</v>
      </c>
      <c r="P14" s="2"/>
      <c r="Q14" s="5"/>
    </row>
    <row r="15" spans="1:17" ht="93">
      <c r="A15" s="5">
        <v>39</v>
      </c>
      <c r="B15" s="8" t="s">
        <v>16</v>
      </c>
      <c r="C15" s="5" t="str">
        <f>HYPERLINK("http://data.overheid.nl/data/dataset/gevoelige-bestemmingen-a-g-v-gevaarlijk-transport-via-vaarwegen","Gevoelige bestemmingen a.g.v. gevaarlijk transport via vaarwegen")</f>
        <v>Gevoelige bestemmingen a.g.v. gevaarlijk transport via vaarwegen</v>
      </c>
      <c r="D15" s="8" t="s">
        <v>17</v>
      </c>
      <c r="E15" s="5" t="s">
        <v>18</v>
      </c>
      <c r="F15" s="2" t="s">
        <v>372</v>
      </c>
      <c r="G15" s="5" t="s">
        <v>66</v>
      </c>
      <c r="H15" s="8" t="s">
        <v>21</v>
      </c>
      <c r="I15" s="5" t="s">
        <v>22</v>
      </c>
      <c r="J15" s="7" t="s">
        <v>39</v>
      </c>
      <c r="K15" s="3" t="s">
        <v>19</v>
      </c>
      <c r="L15" s="8" t="s">
        <v>24</v>
      </c>
      <c r="M15" s="5" t="s">
        <v>25</v>
      </c>
      <c r="N15" s="2" t="s">
        <v>26</v>
      </c>
      <c r="O15" s="5">
        <v>2</v>
      </c>
      <c r="P15" s="2"/>
      <c r="Q15" s="5"/>
    </row>
    <row r="16" spans="1:17" ht="15.5">
      <c r="A16" s="5">
        <v>73</v>
      </c>
      <c r="B16" s="8" t="s">
        <v>16</v>
      </c>
      <c r="C16" s="5" t="str">
        <f>HYPERLINK("http://data.overheid.nl/data/dataset/2-kilometerzone-rondom-vastgestelde-natuurgebieden","2-kilometerzone rondom vastgestelde natuurgebieden")</f>
        <v>2-kilometerzone rondom vastgestelde natuurgebieden</v>
      </c>
      <c r="D16" s="8" t="s">
        <v>17</v>
      </c>
      <c r="E16" s="5" t="s">
        <v>18</v>
      </c>
      <c r="F16" s="2" t="s">
        <v>372</v>
      </c>
      <c r="G16" s="5" t="s">
        <v>100</v>
      </c>
      <c r="H16" s="8" t="s">
        <v>21</v>
      </c>
      <c r="I16" s="5" t="s">
        <v>22</v>
      </c>
      <c r="J16" s="7" t="s">
        <v>39</v>
      </c>
      <c r="K16" s="3" t="s">
        <v>19</v>
      </c>
      <c r="L16" s="8" t="s">
        <v>24</v>
      </c>
      <c r="M16" s="5" t="s">
        <v>25</v>
      </c>
      <c r="N16" s="2" t="s">
        <v>26</v>
      </c>
      <c r="O16" s="5">
        <v>2</v>
      </c>
      <c r="P16" s="2"/>
      <c r="Q16" s="5"/>
    </row>
    <row r="17" spans="1:17" ht="62">
      <c r="A17" s="5">
        <v>88</v>
      </c>
      <c r="B17" s="8" t="s">
        <v>16</v>
      </c>
      <c r="C17" s="5" t="str">
        <f>HYPERLINK("http://data.overheid.nl/data/dataset/belaste-woningen-geluid-lnight-vliegverkeer","Belaste woningen geluid (Lnight) - vliegverkeer.")</f>
        <v>Belaste woningen geluid (Lnight) - vliegverkeer.</v>
      </c>
      <c r="D17" s="8" t="s">
        <v>17</v>
      </c>
      <c r="E17" s="5" t="s">
        <v>18</v>
      </c>
      <c r="F17" s="2" t="s">
        <v>372</v>
      </c>
      <c r="G17" s="5" t="s">
        <v>115</v>
      </c>
      <c r="H17" s="8" t="s">
        <v>21</v>
      </c>
      <c r="I17" s="5" t="s">
        <v>22</v>
      </c>
      <c r="J17" s="7" t="s">
        <v>39</v>
      </c>
      <c r="K17" s="3" t="s">
        <v>19</v>
      </c>
      <c r="L17" s="8" t="s">
        <v>24</v>
      </c>
      <c r="M17" s="5" t="s">
        <v>25</v>
      </c>
      <c r="N17" s="2" t="s">
        <v>26</v>
      </c>
      <c r="O17" s="5">
        <v>2</v>
      </c>
      <c r="P17" s="2"/>
      <c r="Q17" s="5"/>
    </row>
    <row r="18" spans="1:17" ht="31">
      <c r="A18" s="5">
        <v>95</v>
      </c>
      <c r="B18" s="8" t="s">
        <v>16</v>
      </c>
      <c r="C18" s="5" t="str">
        <f>HYPERLINK("http://data.overheid.nl/data/dataset/projectgebieden-grondzaken","Projectgebieden grondzaken")</f>
        <v>Projectgebieden grondzaken</v>
      </c>
      <c r="D18" s="8" t="s">
        <v>17</v>
      </c>
      <c r="E18" s="5" t="s">
        <v>18</v>
      </c>
      <c r="F18" s="2" t="s">
        <v>372</v>
      </c>
      <c r="G18" s="5" t="s">
        <v>122</v>
      </c>
      <c r="H18" s="8" t="s">
        <v>21</v>
      </c>
      <c r="I18" s="5" t="s">
        <v>22</v>
      </c>
      <c r="J18" s="7" t="s">
        <v>39</v>
      </c>
      <c r="K18" s="3" t="s">
        <v>19</v>
      </c>
      <c r="L18" s="8" t="s">
        <v>24</v>
      </c>
      <c r="M18" s="5" t="s">
        <v>25</v>
      </c>
      <c r="N18" s="2" t="s">
        <v>26</v>
      </c>
      <c r="O18" s="5">
        <v>0</v>
      </c>
      <c r="P18" s="2"/>
      <c r="Q18" s="5"/>
    </row>
    <row r="19" spans="1:17" ht="15.5">
      <c r="A19" s="5">
        <v>100</v>
      </c>
      <c r="B19" s="8" t="s">
        <v>16</v>
      </c>
      <c r="C19" s="5" t="str">
        <f>HYPERLINK("http://data.overheid.nl/data/dataset/intensiteiten-2015","Intensiteiten 2015")</f>
        <v>Intensiteiten 2015</v>
      </c>
      <c r="D19" s="8" t="s">
        <v>17</v>
      </c>
      <c r="E19" s="5" t="s">
        <v>18</v>
      </c>
      <c r="F19" s="2" t="s">
        <v>372</v>
      </c>
      <c r="G19" s="5" t="s">
        <v>128</v>
      </c>
      <c r="H19" s="8" t="s">
        <v>21</v>
      </c>
      <c r="I19" s="5" t="s">
        <v>22</v>
      </c>
      <c r="J19" s="7" t="s">
        <v>39</v>
      </c>
      <c r="K19" s="3" t="s">
        <v>19</v>
      </c>
      <c r="L19" s="8" t="s">
        <v>24</v>
      </c>
      <c r="M19" s="5" t="s">
        <v>25</v>
      </c>
      <c r="N19" s="2" t="s">
        <v>26</v>
      </c>
      <c r="O19" s="5">
        <v>3</v>
      </c>
      <c r="P19" s="2"/>
      <c r="Q19" s="5"/>
    </row>
    <row r="20" spans="1:17" ht="31">
      <c r="A20" s="5">
        <v>106</v>
      </c>
      <c r="B20" s="8" t="s">
        <v>16</v>
      </c>
      <c r="C20" s="5" t="str">
        <f>HYPERLINK("http://data.overheid.nl/data/dataset/landschadsverordening-recreatieschappen","Landschadsverordening Recreatieschappen")</f>
        <v>Landschadsverordening Recreatieschappen</v>
      </c>
      <c r="D20" s="8" t="s">
        <v>17</v>
      </c>
      <c r="E20" s="5" t="s">
        <v>18</v>
      </c>
      <c r="F20" s="2" t="s">
        <v>372</v>
      </c>
      <c r="G20" s="5" t="s">
        <v>133</v>
      </c>
      <c r="H20" s="8" t="s">
        <v>21</v>
      </c>
      <c r="I20" s="5" t="s">
        <v>22</v>
      </c>
      <c r="J20" s="7" t="s">
        <v>39</v>
      </c>
      <c r="K20" s="3" t="s">
        <v>19</v>
      </c>
      <c r="L20" s="8" t="s">
        <v>24</v>
      </c>
      <c r="M20" s="5" t="s">
        <v>25</v>
      </c>
      <c r="N20" s="2" t="s">
        <v>26</v>
      </c>
      <c r="O20" s="5">
        <v>2</v>
      </c>
      <c r="P20" s="2"/>
      <c r="Q20" s="5"/>
    </row>
    <row r="21" spans="1:17" ht="46.5">
      <c r="A21" s="5">
        <v>125</v>
      </c>
      <c r="B21" s="8" t="s">
        <v>16</v>
      </c>
      <c r="C21" s="5" t="str">
        <f>HYPERLINK("http://data.overheid.nl/data/dataset/lijntopografie-van-de-wegmarkeringen","Lijntopografie van de wegmarkeringen")</f>
        <v>Lijntopografie van de wegmarkeringen</v>
      </c>
      <c r="D21" s="8" t="s">
        <v>17</v>
      </c>
      <c r="E21" s="5" t="s">
        <v>18</v>
      </c>
      <c r="F21" s="2" t="s">
        <v>372</v>
      </c>
      <c r="G21" s="5" t="s">
        <v>150</v>
      </c>
      <c r="H21" s="8" t="s">
        <v>21</v>
      </c>
      <c r="I21" s="5" t="s">
        <v>22</v>
      </c>
      <c r="J21" s="7" t="s">
        <v>39</v>
      </c>
      <c r="K21" s="3" t="s">
        <v>19</v>
      </c>
      <c r="L21" s="8" t="s">
        <v>24</v>
      </c>
      <c r="M21" s="5" t="s">
        <v>25</v>
      </c>
      <c r="N21" s="2" t="s">
        <v>26</v>
      </c>
      <c r="O21" s="5">
        <v>2</v>
      </c>
      <c r="P21" s="2"/>
      <c r="Q21" s="5"/>
    </row>
    <row r="22" spans="1:17" ht="46.5">
      <c r="A22" s="5">
        <v>126</v>
      </c>
      <c r="B22" s="8" t="s">
        <v>16</v>
      </c>
      <c r="C22" s="5" t="str">
        <f>HYPERLINK("http://data.overheid.nl/data/dataset/vlaktopografie-van-de-wegmarkeringen","Vlaktopografie van de wegmarkeringen")</f>
        <v>Vlaktopografie van de wegmarkeringen</v>
      </c>
      <c r="D22" s="8" t="s">
        <v>17</v>
      </c>
      <c r="E22" s="5" t="s">
        <v>18</v>
      </c>
      <c r="F22" s="2" t="s">
        <v>372</v>
      </c>
      <c r="G22" s="5" t="s">
        <v>151</v>
      </c>
      <c r="H22" s="8" t="s">
        <v>21</v>
      </c>
      <c r="I22" s="5" t="s">
        <v>22</v>
      </c>
      <c r="J22" s="7" t="s">
        <v>39</v>
      </c>
      <c r="K22" s="3" t="s">
        <v>19</v>
      </c>
      <c r="L22" s="8" t="s">
        <v>24</v>
      </c>
      <c r="M22" s="5" t="s">
        <v>25</v>
      </c>
      <c r="N22" s="2" t="s">
        <v>26</v>
      </c>
      <c r="O22" s="5">
        <v>2</v>
      </c>
      <c r="P22" s="2"/>
      <c r="Q22" s="5"/>
    </row>
    <row r="23" spans="1:17" ht="46.5">
      <c r="A23" s="5">
        <v>127</v>
      </c>
      <c r="B23" s="8" t="s">
        <v>16</v>
      </c>
      <c r="C23" s="5" t="str">
        <f>HYPERLINK("http://data.overheid.nl/data/dataset/beschrijvende-teksten-verkeersregelinstallaties-n-wegen","Beschrijvende teksten verkeersregelinstallaties N-wegen")</f>
        <v>Beschrijvende teksten verkeersregelinstallaties N-wegen</v>
      </c>
      <c r="D23" s="8" t="s">
        <v>17</v>
      </c>
      <c r="E23" s="5" t="s">
        <v>18</v>
      </c>
      <c r="F23" s="2" t="s">
        <v>372</v>
      </c>
      <c r="G23" s="5" t="s">
        <v>152</v>
      </c>
      <c r="H23" s="8" t="s">
        <v>21</v>
      </c>
      <c r="I23" s="5" t="s">
        <v>22</v>
      </c>
      <c r="J23" s="7" t="s">
        <v>39</v>
      </c>
      <c r="K23" s="3" t="s">
        <v>19</v>
      </c>
      <c r="L23" s="8" t="s">
        <v>24</v>
      </c>
      <c r="M23" s="5" t="s">
        <v>25</v>
      </c>
      <c r="N23" s="2" t="s">
        <v>26</v>
      </c>
      <c r="O23" s="5">
        <v>2</v>
      </c>
      <c r="P23" s="2"/>
      <c r="Q23" s="5"/>
    </row>
    <row r="24" spans="1:17" ht="31">
      <c r="A24" s="5">
        <v>128</v>
      </c>
      <c r="B24" s="8" t="s">
        <v>16</v>
      </c>
      <c r="C24" s="5" t="str">
        <f>HYPERLINK("http://data.overheid.nl/data/dataset/verkeersregelinstallaties-n-wegen","Verkeersregelinstallaties N-wegen")</f>
        <v>Verkeersregelinstallaties N-wegen</v>
      </c>
      <c r="D24" s="8" t="s">
        <v>17</v>
      </c>
      <c r="E24" s="5" t="s">
        <v>18</v>
      </c>
      <c r="F24" s="2" t="s">
        <v>372</v>
      </c>
      <c r="G24" s="5" t="s">
        <v>153</v>
      </c>
      <c r="H24" s="8" t="s">
        <v>21</v>
      </c>
      <c r="I24" s="5" t="s">
        <v>22</v>
      </c>
      <c r="J24" s="7" t="s">
        <v>39</v>
      </c>
      <c r="K24" s="3" t="s">
        <v>19</v>
      </c>
      <c r="L24" s="8" t="s">
        <v>24</v>
      </c>
      <c r="M24" s="5" t="s">
        <v>25</v>
      </c>
      <c r="N24" s="2" t="s">
        <v>26</v>
      </c>
      <c r="O24" s="5">
        <v>3</v>
      </c>
      <c r="P24" s="2"/>
      <c r="Q24" s="5"/>
    </row>
    <row r="25" spans="1:17" ht="31">
      <c r="A25" s="5">
        <v>138</v>
      </c>
      <c r="B25" s="8" t="s">
        <v>16</v>
      </c>
      <c r="C25" s="5" t="str">
        <f>HYPERLINK("http://data.overheid.nl/data/dataset/vlaktopografie-van-gekleurde-asfaltdeklagen-en-tegels-n-wegen","Vlaktopografie van gekleurde asfaltdeklagen en tegels N-wegen")</f>
        <v>Vlaktopografie van gekleurde asfaltdeklagen en tegels N-wegen</v>
      </c>
      <c r="D25" s="8" t="s">
        <v>17</v>
      </c>
      <c r="E25" s="5" t="s">
        <v>18</v>
      </c>
      <c r="F25" s="2" t="s">
        <v>372</v>
      </c>
      <c r="G25" s="5" t="s">
        <v>163</v>
      </c>
      <c r="H25" s="8" t="s">
        <v>21</v>
      </c>
      <c r="I25" s="5" t="s">
        <v>22</v>
      </c>
      <c r="J25" s="7" t="s">
        <v>39</v>
      </c>
      <c r="K25" s="3" t="s">
        <v>19</v>
      </c>
      <c r="L25" s="8" t="s">
        <v>24</v>
      </c>
      <c r="M25" s="5" t="s">
        <v>25</v>
      </c>
      <c r="N25" s="2" t="s">
        <v>26</v>
      </c>
      <c r="O25" s="5">
        <v>2</v>
      </c>
      <c r="P25" s="2"/>
      <c r="Q25" s="5"/>
    </row>
    <row r="26" spans="1:17" ht="15.5">
      <c r="A26" s="5">
        <v>146</v>
      </c>
      <c r="B26" s="8" t="s">
        <v>16</v>
      </c>
      <c r="C26" s="5" t="str">
        <f>HYPERLINK("http://data.overheid.nl/data/dataset/meetnet-kleine-landschappelijke-elementen-mkle","Meetnet Kleine Landschappelijke Elementen (MKLE)")</f>
        <v>Meetnet Kleine Landschappelijke Elementen (MKLE)</v>
      </c>
      <c r="D26" s="8" t="s">
        <v>17</v>
      </c>
      <c r="E26" s="5" t="s">
        <v>18</v>
      </c>
      <c r="F26" s="2" t="s">
        <v>372</v>
      </c>
      <c r="G26" s="5" t="s">
        <v>171</v>
      </c>
      <c r="H26" s="8" t="s">
        <v>21</v>
      </c>
      <c r="I26" s="5" t="s">
        <v>22</v>
      </c>
      <c r="J26" s="7" t="s">
        <v>39</v>
      </c>
      <c r="K26" s="3" t="s">
        <v>19</v>
      </c>
      <c r="L26" s="8" t="s">
        <v>24</v>
      </c>
      <c r="M26" s="5" t="s">
        <v>25</v>
      </c>
      <c r="N26" s="2" t="s">
        <v>26</v>
      </c>
      <c r="O26" s="5">
        <v>2</v>
      </c>
      <c r="P26" s="2"/>
      <c r="Q26" s="5"/>
    </row>
    <row r="27" spans="1:17" ht="124">
      <c r="A27" s="5">
        <v>170</v>
      </c>
      <c r="B27" s="8" t="s">
        <v>16</v>
      </c>
      <c r="C27" s="5" t="str">
        <f>HYPERLINK("http://data.overheid.nl/data/dataset/kwetsbaarheid-voor-oxidatie-van-organische-stof-bij-bodembewerking","Kwetsbaarheid voor oxidatie van organische stof bij bodembewerking")</f>
        <v>Kwetsbaarheid voor oxidatie van organische stof bij bodembewerking</v>
      </c>
      <c r="D27" s="8" t="s">
        <v>17</v>
      </c>
      <c r="E27" s="5" t="s">
        <v>18</v>
      </c>
      <c r="F27" s="2" t="s">
        <v>372</v>
      </c>
      <c r="G27" s="5" t="s">
        <v>192</v>
      </c>
      <c r="H27" s="8" t="s">
        <v>21</v>
      </c>
      <c r="I27" s="5" t="s">
        <v>22</v>
      </c>
      <c r="J27" s="7" t="s">
        <v>39</v>
      </c>
      <c r="K27" s="3" t="s">
        <v>19</v>
      </c>
      <c r="L27" s="8" t="s">
        <v>24</v>
      </c>
      <c r="M27" s="5" t="s">
        <v>25</v>
      </c>
      <c r="N27" s="2" t="s">
        <v>26</v>
      </c>
      <c r="O27" s="5">
        <v>2</v>
      </c>
      <c r="P27" s="2"/>
      <c r="Q27" s="5"/>
    </row>
    <row r="28" spans="1:17" ht="124">
      <c r="A28" s="5">
        <v>171</v>
      </c>
      <c r="B28" s="8" t="s">
        <v>16</v>
      </c>
      <c r="C28" s="5" t="str">
        <f>HYPERLINK("http://data.overheid.nl/data/dataset/kwetsbaarheid-voor-oxidatie-van-organische-stof","Kwetsbaarheid voor oxidatie van organische stof")</f>
        <v>Kwetsbaarheid voor oxidatie van organische stof</v>
      </c>
      <c r="D28" s="8" t="s">
        <v>17</v>
      </c>
      <c r="E28" s="5" t="s">
        <v>18</v>
      </c>
      <c r="F28" s="2" t="s">
        <v>372</v>
      </c>
      <c r="G28" s="5" t="s">
        <v>192</v>
      </c>
      <c r="H28" s="8" t="s">
        <v>21</v>
      </c>
      <c r="I28" s="5" t="s">
        <v>22</v>
      </c>
      <c r="J28" s="7" t="s">
        <v>39</v>
      </c>
      <c r="K28" s="3" t="s">
        <v>19</v>
      </c>
      <c r="L28" s="8" t="s">
        <v>24</v>
      </c>
      <c r="M28" s="5" t="s">
        <v>25</v>
      </c>
      <c r="N28" s="2" t="s">
        <v>26</v>
      </c>
      <c r="O28" s="5">
        <v>2</v>
      </c>
      <c r="P28" s="2"/>
      <c r="Q28" s="5"/>
    </row>
    <row r="29" spans="1:17" ht="124">
      <c r="A29" s="5">
        <v>173</v>
      </c>
      <c r="B29" s="8" t="s">
        <v>16</v>
      </c>
      <c r="C29" s="5" t="str">
        <f>HYPERLINK("http://data.overheid.nl/data/dataset/toemaakdekken-bodemkaart-veengebieden","Toemaakdekken bodemkaart Veengebieden")</f>
        <v>Toemaakdekken bodemkaart Veengebieden</v>
      </c>
      <c r="D29" s="8" t="s">
        <v>17</v>
      </c>
      <c r="E29" s="5" t="s">
        <v>18</v>
      </c>
      <c r="F29" s="2" t="s">
        <v>372</v>
      </c>
      <c r="G29" s="5" t="s">
        <v>194</v>
      </c>
      <c r="H29" s="8" t="s">
        <v>21</v>
      </c>
      <c r="I29" s="5" t="s">
        <v>22</v>
      </c>
      <c r="J29" s="7" t="s">
        <v>39</v>
      </c>
      <c r="K29" s="3" t="s">
        <v>19</v>
      </c>
      <c r="L29" s="8" t="s">
        <v>24</v>
      </c>
      <c r="M29" s="5" t="s">
        <v>25</v>
      </c>
      <c r="N29" s="2" t="s">
        <v>26</v>
      </c>
      <c r="O29" s="5">
        <v>2</v>
      </c>
      <c r="P29" s="2"/>
      <c r="Q29" s="5"/>
    </row>
    <row r="30" spans="1:17" ht="139.5">
      <c r="A30" s="5">
        <v>174</v>
      </c>
      <c r="B30" s="8" t="s">
        <v>16</v>
      </c>
      <c r="C30" s="5" t="str">
        <f>HYPERLINK("http://data.overheid.nl/data/dataset/bodemkaart-veengebieden","Bodemkaart Veengebieden")</f>
        <v>Bodemkaart Veengebieden</v>
      </c>
      <c r="D30" s="8" t="s">
        <v>17</v>
      </c>
      <c r="E30" s="5" t="s">
        <v>18</v>
      </c>
      <c r="F30" s="2" t="s">
        <v>372</v>
      </c>
      <c r="G30" s="5" t="s">
        <v>195</v>
      </c>
      <c r="H30" s="8" t="s">
        <v>21</v>
      </c>
      <c r="I30" s="5" t="s">
        <v>22</v>
      </c>
      <c r="J30" s="7" t="s">
        <v>39</v>
      </c>
      <c r="K30" s="3" t="s">
        <v>19</v>
      </c>
      <c r="L30" s="8" t="s">
        <v>24</v>
      </c>
      <c r="M30" s="5" t="s">
        <v>25</v>
      </c>
      <c r="N30" s="2" t="s">
        <v>26</v>
      </c>
      <c r="O30" s="5">
        <v>2</v>
      </c>
      <c r="P30" s="2"/>
      <c r="Q30" s="5"/>
    </row>
    <row r="31" spans="1:17" ht="46.5">
      <c r="A31" s="5">
        <v>192</v>
      </c>
      <c r="B31" s="8" t="s">
        <v>16</v>
      </c>
      <c r="C31" s="5" t="str">
        <f>HYPERLINK("http://data.overheid.nl/data/dataset/recreatieve-zonering-heel-de-heuvelrug","Recreatieve zonering Heel de Heuvelrug")</f>
        <v>Recreatieve zonering Heel de Heuvelrug</v>
      </c>
      <c r="D31" s="8" t="s">
        <v>17</v>
      </c>
      <c r="E31" s="5" t="s">
        <v>18</v>
      </c>
      <c r="F31" s="2" t="s">
        <v>372</v>
      </c>
      <c r="G31" s="5" t="s">
        <v>204</v>
      </c>
      <c r="H31" s="8" t="s">
        <v>21</v>
      </c>
      <c r="I31" s="5" t="s">
        <v>22</v>
      </c>
      <c r="J31" s="7" t="s">
        <v>39</v>
      </c>
      <c r="K31" s="3" t="s">
        <v>19</v>
      </c>
      <c r="L31" s="8" t="s">
        <v>24</v>
      </c>
      <c r="M31" s="5" t="s">
        <v>25</v>
      </c>
      <c r="N31" s="2" t="s">
        <v>26</v>
      </c>
      <c r="O31" s="5">
        <v>2</v>
      </c>
      <c r="P31" s="2"/>
      <c r="Q31" s="5"/>
    </row>
    <row r="32" spans="1:17" ht="62">
      <c r="A32" s="5">
        <v>194</v>
      </c>
      <c r="B32" s="8" t="s">
        <v>16</v>
      </c>
      <c r="C32" s="5" t="str">
        <f>HYPERLINK("http://data.overheid.nl/data/dataset/grondwaterbeschermingszones","Grondwaterbeschermingszones")</f>
        <v>Grondwaterbeschermingszones</v>
      </c>
      <c r="D32" s="8" t="s">
        <v>17</v>
      </c>
      <c r="E32" s="5" t="s">
        <v>18</v>
      </c>
      <c r="F32" s="2" t="s">
        <v>372</v>
      </c>
      <c r="G32" s="5" t="s">
        <v>206</v>
      </c>
      <c r="H32" s="8" t="s">
        <v>21</v>
      </c>
      <c r="I32" s="5" t="s">
        <v>22</v>
      </c>
      <c r="J32" s="7" t="s">
        <v>39</v>
      </c>
      <c r="K32" s="3" t="s">
        <v>19</v>
      </c>
      <c r="L32" s="8" t="s">
        <v>24</v>
      </c>
      <c r="M32" s="5" t="s">
        <v>25</v>
      </c>
      <c r="N32" s="2" t="s">
        <v>26</v>
      </c>
      <c r="O32" s="5">
        <v>6</v>
      </c>
      <c r="P32" s="2"/>
      <c r="Q32" s="5"/>
    </row>
    <row r="33" spans="1:17" ht="31">
      <c r="A33" s="5">
        <v>213</v>
      </c>
      <c r="B33" s="8" t="s">
        <v>16</v>
      </c>
      <c r="C33" s="5" t="str">
        <f>HYPERLINK("http://data.overheid.nl/data/dataset/voor-verzuring-gevoelige-gebieden-binnen-ecologische-hoofdstructuur-ehs","Voor verzuring gevoelige gebieden binnen Ecologische Hoofdstructuur (EHS)")</f>
        <v>Voor verzuring gevoelige gebieden binnen Ecologische Hoofdstructuur (EHS)</v>
      </c>
      <c r="D33" s="8" t="s">
        <v>17</v>
      </c>
      <c r="E33" s="5" t="s">
        <v>18</v>
      </c>
      <c r="F33" s="2" t="s">
        <v>372</v>
      </c>
      <c r="G33" s="5" t="s">
        <v>225</v>
      </c>
      <c r="H33" s="8" t="s">
        <v>21</v>
      </c>
      <c r="I33" s="5" t="s">
        <v>22</v>
      </c>
      <c r="J33" s="7" t="s">
        <v>39</v>
      </c>
      <c r="K33" s="3" t="s">
        <v>19</v>
      </c>
      <c r="L33" s="8" t="s">
        <v>24</v>
      </c>
      <c r="M33" s="5" t="s">
        <v>25</v>
      </c>
      <c r="N33" s="2" t="s">
        <v>26</v>
      </c>
      <c r="O33" s="5">
        <v>2</v>
      </c>
      <c r="P33" s="2"/>
      <c r="Q33" s="5"/>
    </row>
    <row r="34" spans="1:17" ht="31">
      <c r="A34" s="5">
        <v>215</v>
      </c>
      <c r="B34" s="8" t="s">
        <v>16</v>
      </c>
      <c r="C34" s="5" t="str">
        <f>HYPERLINK("http://data.overheid.nl/data/dataset/250-meterzone-verzuringsgevoelige-gebieden-in-ecologische-hoofdstructuur-ehs","250-meterzone verzuringsgevoelige gebieden in Ecologische Hoofdstructuur (EHS)")</f>
        <v>250-meterzone verzuringsgevoelige gebieden in Ecologische Hoofdstructuur (EHS)</v>
      </c>
      <c r="D34" s="8" t="s">
        <v>17</v>
      </c>
      <c r="E34" s="5" t="s">
        <v>18</v>
      </c>
      <c r="F34" s="2" t="s">
        <v>372</v>
      </c>
      <c r="G34" s="5" t="s">
        <v>227</v>
      </c>
      <c r="H34" s="8" t="s">
        <v>21</v>
      </c>
      <c r="I34" s="5" t="s">
        <v>22</v>
      </c>
      <c r="J34" s="7" t="s">
        <v>39</v>
      </c>
      <c r="K34" s="3" t="s">
        <v>19</v>
      </c>
      <c r="L34" s="8" t="s">
        <v>24</v>
      </c>
      <c r="M34" s="5" t="s">
        <v>25</v>
      </c>
      <c r="N34" s="2" t="s">
        <v>26</v>
      </c>
      <c r="O34" s="5">
        <v>2</v>
      </c>
      <c r="P34" s="2"/>
      <c r="Q34" s="5"/>
    </row>
    <row r="35" spans="1:17" ht="46.5">
      <c r="A35" s="5">
        <v>227</v>
      </c>
      <c r="B35" s="8" t="s">
        <v>16</v>
      </c>
      <c r="C35" s="5" t="str">
        <f>HYPERLINK("http://data.overheid.nl/data/dataset/lokaties-van-de-lichtmasten-in-lijnvorm","Lokaties van de lichtmasten in lijnvorm")</f>
        <v>Lokaties van de lichtmasten in lijnvorm</v>
      </c>
      <c r="D35" s="8" t="s">
        <v>17</v>
      </c>
      <c r="E35" s="5" t="s">
        <v>18</v>
      </c>
      <c r="F35" s="2" t="s">
        <v>372</v>
      </c>
      <c r="G35" s="5" t="s">
        <v>239</v>
      </c>
      <c r="H35" s="8" t="s">
        <v>21</v>
      </c>
      <c r="I35" s="5" t="s">
        <v>22</v>
      </c>
      <c r="J35" s="7" t="s">
        <v>39</v>
      </c>
      <c r="K35" s="3" t="s">
        <v>19</v>
      </c>
      <c r="L35" s="8" t="s">
        <v>24</v>
      </c>
      <c r="M35" s="5" t="s">
        <v>25</v>
      </c>
      <c r="N35" s="2" t="s">
        <v>26</v>
      </c>
      <c r="O35" s="5">
        <v>2</v>
      </c>
      <c r="P35" s="2"/>
      <c r="Q35" s="5"/>
    </row>
    <row r="36" spans="1:17" ht="46.5">
      <c r="A36" s="5">
        <v>234</v>
      </c>
      <c r="B36" s="8" t="s">
        <v>16</v>
      </c>
      <c r="C36" s="5" t="str">
        <f>HYPERLINK("http://data.overheid.nl/data/dataset/kwaliteitsnet-goederenvervoer-wegenoverzicht-01","Kwaliteitsnet Goederenvervoer Wegenoverzicht")</f>
        <v>Kwaliteitsnet Goederenvervoer Wegenoverzicht</v>
      </c>
      <c r="D36" s="8" t="s">
        <v>17</v>
      </c>
      <c r="E36" s="5" t="s">
        <v>18</v>
      </c>
      <c r="F36" s="2" t="s">
        <v>372</v>
      </c>
      <c r="G36" s="5" t="s">
        <v>241</v>
      </c>
      <c r="H36" s="8" t="s">
        <v>21</v>
      </c>
      <c r="I36" s="5" t="s">
        <v>22</v>
      </c>
      <c r="J36" s="7" t="s">
        <v>39</v>
      </c>
      <c r="K36" s="3" t="s">
        <v>19</v>
      </c>
      <c r="L36" s="8" t="s">
        <v>24</v>
      </c>
      <c r="M36" s="5" t="s">
        <v>25</v>
      </c>
      <c r="N36" s="2" t="s">
        <v>26</v>
      </c>
      <c r="O36" s="5">
        <v>2</v>
      </c>
      <c r="P36" s="2"/>
      <c r="Q36" s="5"/>
    </row>
    <row r="37" spans="1:17" ht="15.5">
      <c r="A37" s="5">
        <v>236</v>
      </c>
      <c r="B37" s="8" t="s">
        <v>16</v>
      </c>
      <c r="C37" s="5" t="str">
        <f>HYPERLINK("http://data.overheid.nl/data/dataset/kwaliteitsnet-goederenvervoer-spoorwegen","Kwaliteitsnet Goederenvervoer Spoorwegen")</f>
        <v>Kwaliteitsnet Goederenvervoer Spoorwegen</v>
      </c>
      <c r="D37" s="8" t="s">
        <v>17</v>
      </c>
      <c r="E37" s="5" t="s">
        <v>18</v>
      </c>
      <c r="F37" s="2" t="s">
        <v>372</v>
      </c>
      <c r="G37" s="5" t="s">
        <v>243</v>
      </c>
      <c r="H37" s="8" t="s">
        <v>21</v>
      </c>
      <c r="I37" s="5" t="s">
        <v>22</v>
      </c>
      <c r="J37" s="7" t="s">
        <v>39</v>
      </c>
      <c r="K37" s="3" t="s">
        <v>19</v>
      </c>
      <c r="L37" s="8" t="s">
        <v>24</v>
      </c>
      <c r="M37" s="5" t="s">
        <v>25</v>
      </c>
      <c r="N37" s="2" t="s">
        <v>26</v>
      </c>
      <c r="O37" s="5">
        <v>2</v>
      </c>
      <c r="P37" s="2"/>
      <c r="Q37" s="5"/>
    </row>
    <row r="38" spans="1:17" ht="15.5">
      <c r="A38" s="5">
        <v>239</v>
      </c>
      <c r="B38" s="8" t="s">
        <v>16</v>
      </c>
      <c r="C38" s="5" t="str">
        <f>HYPERLINK("http://data.overheid.nl/data/dataset/kwaliteitsnet-goederenvervoer-rotondes","Kwaliteitsnet Goederenvervoer Rotondes")</f>
        <v>Kwaliteitsnet Goederenvervoer Rotondes</v>
      </c>
      <c r="D38" s="8" t="s">
        <v>17</v>
      </c>
      <c r="E38" s="5" t="s">
        <v>18</v>
      </c>
      <c r="F38" s="2" t="s">
        <v>372</v>
      </c>
      <c r="G38" s="5" t="s">
        <v>246</v>
      </c>
      <c r="H38" s="8" t="s">
        <v>21</v>
      </c>
      <c r="I38" s="5" t="s">
        <v>22</v>
      </c>
      <c r="J38" s="7" t="s">
        <v>39</v>
      </c>
      <c r="K38" s="3" t="s">
        <v>19</v>
      </c>
      <c r="L38" s="8" t="s">
        <v>24</v>
      </c>
      <c r="M38" s="5" t="s">
        <v>25</v>
      </c>
      <c r="N38" s="2" t="s">
        <v>26</v>
      </c>
      <c r="O38" s="5">
        <v>2</v>
      </c>
      <c r="P38" s="2"/>
      <c r="Q38" s="5"/>
    </row>
    <row r="39" spans="1:17" ht="15.5">
      <c r="A39" s="5">
        <v>243</v>
      </c>
      <c r="B39" s="8" t="s">
        <v>16</v>
      </c>
      <c r="C39" s="5" t="str">
        <f>HYPERLINK("http://data.overheid.nl/data/dataset/kwaliteitsnet-goederenvervoer-knelpunt-hoogte","Kwaliteitsnet Goederenvervoer Knelpunt hoogte")</f>
        <v>Kwaliteitsnet Goederenvervoer Knelpunt hoogte</v>
      </c>
      <c r="D39" s="8" t="s">
        <v>17</v>
      </c>
      <c r="E39" s="5" t="s">
        <v>18</v>
      </c>
      <c r="F39" s="2" t="s">
        <v>372</v>
      </c>
      <c r="G39" s="5" t="s">
        <v>250</v>
      </c>
      <c r="H39" s="8" t="s">
        <v>21</v>
      </c>
      <c r="I39" s="5" t="s">
        <v>22</v>
      </c>
      <c r="J39" s="7" t="s">
        <v>39</v>
      </c>
      <c r="K39" s="3" t="s">
        <v>19</v>
      </c>
      <c r="L39" s="8" t="s">
        <v>24</v>
      </c>
      <c r="M39" s="5" t="s">
        <v>25</v>
      </c>
      <c r="N39" s="2" t="s">
        <v>26</v>
      </c>
      <c r="O39" s="5">
        <v>2</v>
      </c>
      <c r="P39" s="2"/>
      <c r="Q39" s="5"/>
    </row>
    <row r="40" spans="1:17" ht="15.5">
      <c r="A40" s="5">
        <v>244</v>
      </c>
      <c r="B40" s="8" t="s">
        <v>16</v>
      </c>
      <c r="C40" s="5" t="str">
        <f>HYPERLINK("http://data.overheid.nl/data/dataset/kwaliteitsnet-goederenvervoer-knelpunt-aslast","Kwaliteitsnet Goederenvervoer Knelpunt aslast")</f>
        <v>Kwaliteitsnet Goederenvervoer Knelpunt aslast</v>
      </c>
      <c r="D40" s="8" t="s">
        <v>17</v>
      </c>
      <c r="E40" s="5" t="s">
        <v>18</v>
      </c>
      <c r="F40" s="2" t="s">
        <v>372</v>
      </c>
      <c r="G40" s="5" t="s">
        <v>251</v>
      </c>
      <c r="H40" s="8" t="s">
        <v>21</v>
      </c>
      <c r="I40" s="5" t="s">
        <v>22</v>
      </c>
      <c r="J40" s="7" t="s">
        <v>39</v>
      </c>
      <c r="K40" s="3" t="s">
        <v>19</v>
      </c>
      <c r="L40" s="8" t="s">
        <v>24</v>
      </c>
      <c r="M40" s="5" t="s">
        <v>25</v>
      </c>
      <c r="N40" s="2" t="s">
        <v>26</v>
      </c>
      <c r="O40" s="5">
        <v>2</v>
      </c>
      <c r="P40" s="2"/>
      <c r="Q40" s="5"/>
    </row>
    <row r="41" spans="1:17" ht="15.5">
      <c r="A41" s="5">
        <v>249</v>
      </c>
      <c r="B41" s="8" t="s">
        <v>16</v>
      </c>
      <c r="C41" s="5" t="str">
        <f>HYPERLINK("http://data.overheid.nl/data/dataset/kwaliteitsnet-goederenvervoer-drempel","Kwaliteitsnet Goederenvervoer Drempel")</f>
        <v>Kwaliteitsnet Goederenvervoer Drempel</v>
      </c>
      <c r="D41" s="8" t="s">
        <v>17</v>
      </c>
      <c r="E41" s="5" t="s">
        <v>18</v>
      </c>
      <c r="F41" s="2" t="s">
        <v>372</v>
      </c>
      <c r="G41" s="5" t="s">
        <v>256</v>
      </c>
      <c r="H41" s="8" t="s">
        <v>21</v>
      </c>
      <c r="I41" s="5" t="s">
        <v>22</v>
      </c>
      <c r="J41" s="7" t="s">
        <v>39</v>
      </c>
      <c r="K41" s="3" t="s">
        <v>19</v>
      </c>
      <c r="L41" s="8" t="s">
        <v>24</v>
      </c>
      <c r="M41" s="5" t="s">
        <v>25</v>
      </c>
      <c r="N41" s="2" t="s">
        <v>26</v>
      </c>
      <c r="O41" s="5">
        <v>2</v>
      </c>
      <c r="P41" s="2"/>
      <c r="Q41" s="5"/>
    </row>
    <row r="42" spans="1:17" ht="15.5">
      <c r="A42" s="5">
        <v>250</v>
      </c>
      <c r="B42" s="8" t="s">
        <v>16</v>
      </c>
      <c r="C42" s="5" t="str">
        <f>HYPERLINK("http://data.overheid.nl/data/dataset/kwaliteitsnet-goederenvervoer-chicane-wegversmalling","Kwaliteitsnet Goederenvervoer Chicane / Wegversmalling")</f>
        <v>Kwaliteitsnet Goederenvervoer Chicane / Wegversmalling</v>
      </c>
      <c r="D42" s="8" t="s">
        <v>17</v>
      </c>
      <c r="E42" s="5" t="s">
        <v>18</v>
      </c>
      <c r="F42" s="2" t="s">
        <v>372</v>
      </c>
      <c r="G42" s="5" t="s">
        <v>257</v>
      </c>
      <c r="H42" s="8" t="s">
        <v>21</v>
      </c>
      <c r="I42" s="5" t="s">
        <v>22</v>
      </c>
      <c r="J42" s="7" t="s">
        <v>39</v>
      </c>
      <c r="K42" s="3" t="s">
        <v>19</v>
      </c>
      <c r="L42" s="8" t="s">
        <v>24</v>
      </c>
      <c r="M42" s="5" t="s">
        <v>25</v>
      </c>
      <c r="N42" s="2" t="s">
        <v>26</v>
      </c>
      <c r="O42" s="5">
        <v>2</v>
      </c>
      <c r="P42" s="2"/>
      <c r="Q42" s="5"/>
    </row>
    <row r="43" spans="1:17" ht="15.5">
      <c r="A43" s="5">
        <v>252</v>
      </c>
      <c r="B43" s="8" t="s">
        <v>16</v>
      </c>
      <c r="C43" s="5" t="str">
        <f>HYPERLINK("http://data.overheid.nl/data/dataset/kwaliteitsnet-goederenvervoer-beweegbare-brug","Kwaliteitsnet Goederenvervoer Beweegbare brug")</f>
        <v>Kwaliteitsnet Goederenvervoer Beweegbare brug</v>
      </c>
      <c r="D43" s="8" t="s">
        <v>17</v>
      </c>
      <c r="E43" s="5" t="s">
        <v>18</v>
      </c>
      <c r="F43" s="2" t="s">
        <v>372</v>
      </c>
      <c r="G43" s="5" t="s">
        <v>259</v>
      </c>
      <c r="H43" s="8" t="s">
        <v>21</v>
      </c>
      <c r="I43" s="5" t="s">
        <v>22</v>
      </c>
      <c r="J43" s="7" t="s">
        <v>39</v>
      </c>
      <c r="K43" s="3" t="s">
        <v>19</v>
      </c>
      <c r="L43" s="8" t="s">
        <v>24</v>
      </c>
      <c r="M43" s="5" t="s">
        <v>25</v>
      </c>
      <c r="N43" s="2" t="s">
        <v>26</v>
      </c>
      <c r="O43" s="5">
        <v>2</v>
      </c>
      <c r="P43" s="2"/>
      <c r="Q43" s="5"/>
    </row>
    <row r="44" spans="1:17" ht="15.5">
      <c r="A44" s="5">
        <v>258</v>
      </c>
      <c r="B44" s="8" t="s">
        <v>16</v>
      </c>
      <c r="C44" s="5" t="str">
        <f>HYPERLINK("http://data.overheid.nl/data/dataset/waterschapsgrenzen","Waterschapsgrenzen")</f>
        <v>Waterschapsgrenzen</v>
      </c>
      <c r="D44" s="8" t="s">
        <v>17</v>
      </c>
      <c r="E44" s="5" t="s">
        <v>18</v>
      </c>
      <c r="F44" s="2" t="s">
        <v>372</v>
      </c>
      <c r="G44" s="5" t="s">
        <v>264</v>
      </c>
      <c r="H44" s="8" t="s">
        <v>21</v>
      </c>
      <c r="I44" s="5" t="s">
        <v>22</v>
      </c>
      <c r="J44" s="7" t="s">
        <v>39</v>
      </c>
      <c r="K44" s="3" t="s">
        <v>19</v>
      </c>
      <c r="L44" s="8" t="s">
        <v>24</v>
      </c>
      <c r="M44" s="5" t="s">
        <v>25</v>
      </c>
      <c r="N44" s="2" t="s">
        <v>26</v>
      </c>
      <c r="O44" s="5">
        <v>2</v>
      </c>
      <c r="P44" s="2"/>
      <c r="Q44" s="5"/>
    </row>
    <row r="45" spans="1:17" ht="108.5">
      <c r="A45" s="5">
        <v>318</v>
      </c>
      <c r="B45" s="8" t="s">
        <v>16</v>
      </c>
      <c r="C45" s="5" t="str">
        <f>HYPERLINK("http://data.overheid.nl/data/dataset/biodiversiteit-bedreigde-natuur-nl","Biodiversiteit - bedreigde natuur (NL)")</f>
        <v>Biodiversiteit - bedreigde natuur (NL)</v>
      </c>
      <c r="D45" s="8" t="s">
        <v>17</v>
      </c>
      <c r="E45" s="5" t="s">
        <v>18</v>
      </c>
      <c r="F45" s="2" t="s">
        <v>372</v>
      </c>
      <c r="G45" s="5" t="s">
        <v>322</v>
      </c>
      <c r="H45" s="8" t="s">
        <v>21</v>
      </c>
      <c r="I45" s="5" t="s">
        <v>22</v>
      </c>
      <c r="J45" s="7" t="s">
        <v>39</v>
      </c>
      <c r="K45" s="3" t="s">
        <v>19</v>
      </c>
      <c r="L45" s="8" t="s">
        <v>24</v>
      </c>
      <c r="M45" s="5" t="s">
        <v>25</v>
      </c>
      <c r="N45" s="2" t="s">
        <v>26</v>
      </c>
      <c r="O45" s="5">
        <v>2</v>
      </c>
      <c r="P45" s="2"/>
      <c r="Q45" s="5"/>
    </row>
    <row r="46" spans="1:17" ht="108.5">
      <c r="A46" s="5">
        <v>319</v>
      </c>
      <c r="B46" s="8" t="s">
        <v>16</v>
      </c>
      <c r="C46" s="5" t="str">
        <f>HYPERLINK("http://data.overheid.nl/data/dataset/biodiversiteit-flora-vlakken","Biodiversiteit - flora (vlakken)")</f>
        <v>Biodiversiteit - flora (vlakken)</v>
      </c>
      <c r="D46" s="8" t="s">
        <v>17</v>
      </c>
      <c r="E46" s="5" t="s">
        <v>18</v>
      </c>
      <c r="F46" s="2" t="s">
        <v>372</v>
      </c>
      <c r="G46" s="5" t="s">
        <v>323</v>
      </c>
      <c r="H46" s="8" t="s">
        <v>21</v>
      </c>
      <c r="I46" s="5" t="s">
        <v>22</v>
      </c>
      <c r="J46" s="7" t="s">
        <v>39</v>
      </c>
      <c r="K46" s="3" t="s">
        <v>19</v>
      </c>
      <c r="L46" s="8" t="s">
        <v>24</v>
      </c>
      <c r="M46" s="5" t="s">
        <v>25</v>
      </c>
      <c r="N46" s="2" t="s">
        <v>26</v>
      </c>
      <c r="O46" s="5">
        <v>2</v>
      </c>
      <c r="P46" s="2"/>
      <c r="Q46" s="5"/>
    </row>
    <row r="47" spans="1:17" ht="108.5">
      <c r="A47" s="5">
        <v>320</v>
      </c>
      <c r="B47" s="8" t="s">
        <v>16</v>
      </c>
      <c r="C47" s="5" t="str">
        <f>HYPERLINK("http://data.overheid.nl/data/dataset/biodiversiteit-flora-lijnen","Biodiversiteit - flora (lijnen)")</f>
        <v>Biodiversiteit - flora (lijnen)</v>
      </c>
      <c r="D47" s="8" t="s">
        <v>17</v>
      </c>
      <c r="E47" s="5" t="s">
        <v>18</v>
      </c>
      <c r="F47" s="2" t="s">
        <v>372</v>
      </c>
      <c r="G47" s="5" t="s">
        <v>323</v>
      </c>
      <c r="H47" s="8" t="s">
        <v>21</v>
      </c>
      <c r="I47" s="5" t="s">
        <v>22</v>
      </c>
      <c r="J47" s="7" t="s">
        <v>39</v>
      </c>
      <c r="K47" s="3" t="s">
        <v>19</v>
      </c>
      <c r="L47" s="8" t="s">
        <v>24</v>
      </c>
      <c r="M47" s="5" t="s">
        <v>25</v>
      </c>
      <c r="N47" s="2" t="s">
        <v>26</v>
      </c>
      <c r="O47" s="5">
        <v>2</v>
      </c>
      <c r="P47" s="2"/>
      <c r="Q47" s="5"/>
    </row>
    <row r="48" spans="1:17" ht="108.5">
      <c r="A48" s="5">
        <v>321</v>
      </c>
      <c r="B48" s="8" t="s">
        <v>16</v>
      </c>
      <c r="C48" s="5" t="str">
        <f>HYPERLINK("http://data.overheid.nl/data/dataset/biodiversiteit-biodiversiteitsgebieden-van-eerste-prioriteit","Biodiversiteit - biodiversiteitsgebieden van eerste prioriteit")</f>
        <v>Biodiversiteit - biodiversiteitsgebieden van eerste prioriteit</v>
      </c>
      <c r="D48" s="8" t="s">
        <v>17</v>
      </c>
      <c r="E48" s="5" t="s">
        <v>18</v>
      </c>
      <c r="F48" s="2" t="s">
        <v>372</v>
      </c>
      <c r="G48" s="5" t="s">
        <v>323</v>
      </c>
      <c r="H48" s="8" t="s">
        <v>21</v>
      </c>
      <c r="I48" s="5" t="s">
        <v>22</v>
      </c>
      <c r="J48" s="7" t="s">
        <v>39</v>
      </c>
      <c r="K48" s="3" t="s">
        <v>19</v>
      </c>
      <c r="L48" s="8" t="s">
        <v>24</v>
      </c>
      <c r="M48" s="5" t="s">
        <v>25</v>
      </c>
      <c r="N48" s="2" t="s">
        <v>26</v>
      </c>
      <c r="O48" s="5">
        <v>2</v>
      </c>
      <c r="P48" s="2"/>
      <c r="Q48" s="5"/>
    </row>
    <row r="49" spans="1:17" ht="108.5">
      <c r="A49" s="5">
        <v>322</v>
      </c>
      <c r="B49" s="8" t="s">
        <v>16</v>
      </c>
      <c r="C49" s="5" t="str">
        <f>HYPERLINK("http://data.overheid.nl/data/dataset/biodiversiteit-biodiversiteitsgebieden-van-tweede-prioriteit","Biodiversiteit - biodiversiteitsgebieden van tweede prioriteit")</f>
        <v>Biodiversiteit - biodiversiteitsgebieden van tweede prioriteit</v>
      </c>
      <c r="D49" s="8" t="s">
        <v>17</v>
      </c>
      <c r="E49" s="5" t="s">
        <v>18</v>
      </c>
      <c r="F49" s="2" t="s">
        <v>372</v>
      </c>
      <c r="G49" s="5" t="s">
        <v>323</v>
      </c>
      <c r="H49" s="8" t="s">
        <v>21</v>
      </c>
      <c r="I49" s="5" t="s">
        <v>22</v>
      </c>
      <c r="J49" s="7" t="s">
        <v>39</v>
      </c>
      <c r="K49" s="3" t="s">
        <v>19</v>
      </c>
      <c r="L49" s="8" t="s">
        <v>24</v>
      </c>
      <c r="M49" s="5" t="s">
        <v>25</v>
      </c>
      <c r="N49" s="2" t="s">
        <v>26</v>
      </c>
      <c r="O49" s="5">
        <v>2</v>
      </c>
      <c r="P49" s="2"/>
      <c r="Q49" s="5"/>
    </row>
    <row r="50" spans="1:17" ht="108.5">
      <c r="A50" s="5">
        <v>323</v>
      </c>
      <c r="B50" s="8" t="s">
        <v>16</v>
      </c>
      <c r="C50" s="5" t="str">
        <f>HYPERLINK("http://data.overheid.nl/data/dataset/biodiversiteit-toplocaties-nl","Biodiversiteit - toplocaties (NL)")</f>
        <v>Biodiversiteit - toplocaties (NL)</v>
      </c>
      <c r="D50" s="8" t="s">
        <v>17</v>
      </c>
      <c r="E50" s="5" t="s">
        <v>18</v>
      </c>
      <c r="F50" s="2" t="s">
        <v>372</v>
      </c>
      <c r="G50" s="5" t="s">
        <v>323</v>
      </c>
      <c r="H50" s="8" t="s">
        <v>21</v>
      </c>
      <c r="I50" s="5" t="s">
        <v>22</v>
      </c>
      <c r="J50" s="7" t="s">
        <v>39</v>
      </c>
      <c r="K50" s="3" t="s">
        <v>19</v>
      </c>
      <c r="L50" s="8" t="s">
        <v>24</v>
      </c>
      <c r="M50" s="5" t="s">
        <v>25</v>
      </c>
      <c r="N50" s="2" t="s">
        <v>26</v>
      </c>
      <c r="O50" s="5">
        <v>2</v>
      </c>
      <c r="P50" s="2"/>
      <c r="Q50" s="5"/>
    </row>
    <row r="51" spans="1:17" ht="108.5">
      <c r="A51" s="5">
        <v>324</v>
      </c>
      <c r="B51" s="8" t="s">
        <v>16</v>
      </c>
      <c r="C51" s="5" t="str">
        <f>HYPERLINK("http://data.overheid.nl/data/dataset/biodiversiteit-natuurkwaliteit-fauna","Biodiversiteit - natuurkwaliteit fauna")</f>
        <v>Biodiversiteit - natuurkwaliteit fauna</v>
      </c>
      <c r="D51" s="8" t="s">
        <v>17</v>
      </c>
      <c r="E51" s="5" t="s">
        <v>18</v>
      </c>
      <c r="F51" s="2" t="s">
        <v>372</v>
      </c>
      <c r="G51" s="5" t="s">
        <v>323</v>
      </c>
      <c r="H51" s="8" t="s">
        <v>21</v>
      </c>
      <c r="I51" s="5" t="s">
        <v>22</v>
      </c>
      <c r="J51" s="7" t="s">
        <v>39</v>
      </c>
      <c r="K51" s="3" t="s">
        <v>19</v>
      </c>
      <c r="L51" s="8" t="s">
        <v>24</v>
      </c>
      <c r="M51" s="5" t="s">
        <v>25</v>
      </c>
      <c r="N51" s="2" t="s">
        <v>26</v>
      </c>
      <c r="O51" s="5">
        <v>2</v>
      </c>
      <c r="P51" s="2"/>
      <c r="Q51" s="5"/>
    </row>
    <row r="52" spans="1:17" ht="108.5">
      <c r="A52" s="5">
        <v>325</v>
      </c>
      <c r="B52" s="8" t="s">
        <v>16</v>
      </c>
      <c r="C52" s="5" t="str">
        <f>HYPERLINK("http://data.overheid.nl/data/dataset/biodiversiteit-flora-punten","Biodiversiteit - flora (punten)")</f>
        <v>Biodiversiteit - flora (punten)</v>
      </c>
      <c r="D52" s="8" t="s">
        <v>17</v>
      </c>
      <c r="E52" s="5" t="s">
        <v>18</v>
      </c>
      <c r="F52" s="2" t="s">
        <v>372</v>
      </c>
      <c r="G52" s="5" t="s">
        <v>323</v>
      </c>
      <c r="H52" s="8" t="s">
        <v>21</v>
      </c>
      <c r="I52" s="5" t="s">
        <v>22</v>
      </c>
      <c r="J52" s="7" t="s">
        <v>39</v>
      </c>
      <c r="K52" s="3" t="s">
        <v>19</v>
      </c>
      <c r="L52" s="8" t="s">
        <v>24</v>
      </c>
      <c r="M52" s="5" t="s">
        <v>25</v>
      </c>
      <c r="N52" s="2" t="s">
        <v>26</v>
      </c>
      <c r="O52" s="5">
        <v>2</v>
      </c>
      <c r="P52" s="2"/>
      <c r="Q52" s="5"/>
    </row>
    <row r="53" spans="1:17" ht="108.5">
      <c r="A53" s="5">
        <v>326</v>
      </c>
      <c r="B53" s="8" t="s">
        <v>16</v>
      </c>
      <c r="C53" s="5" t="str">
        <f>HYPERLINK("http://data.overheid.nl/data/dataset/biodiversiteit-kilometerhokken","Biodiversiteit - kilometerhokken")</f>
        <v>Biodiversiteit - kilometerhokken</v>
      </c>
      <c r="D53" s="8" t="s">
        <v>17</v>
      </c>
      <c r="E53" s="5" t="s">
        <v>18</v>
      </c>
      <c r="F53" s="2" t="s">
        <v>372</v>
      </c>
      <c r="G53" s="5" t="s">
        <v>323</v>
      </c>
      <c r="H53" s="8" t="s">
        <v>21</v>
      </c>
      <c r="I53" s="5" t="s">
        <v>22</v>
      </c>
      <c r="J53" s="7" t="s">
        <v>39</v>
      </c>
      <c r="K53" s="3" t="s">
        <v>19</v>
      </c>
      <c r="L53" s="8" t="s">
        <v>24</v>
      </c>
      <c r="M53" s="5" t="s">
        <v>25</v>
      </c>
      <c r="N53" s="2" t="s">
        <v>26</v>
      </c>
      <c r="O53" s="5">
        <v>2</v>
      </c>
      <c r="P53" s="2"/>
      <c r="Q53" s="5"/>
    </row>
    <row r="54" spans="1:17" ht="31">
      <c r="A54" s="5">
        <v>335</v>
      </c>
      <c r="B54" s="8" t="s">
        <v>16</v>
      </c>
      <c r="C54" s="5" t="str">
        <f>HYPERLINK("http://data.overheid.nl/data/dataset/meshtrack","Meshtrack")</f>
        <v>Meshtrack</v>
      </c>
      <c r="D54" s="8" t="s">
        <v>17</v>
      </c>
      <c r="E54" s="5" t="s">
        <v>18</v>
      </c>
      <c r="F54" s="2" t="s">
        <v>372</v>
      </c>
      <c r="G54" s="5" t="s">
        <v>331</v>
      </c>
      <c r="H54" s="8" t="s">
        <v>21</v>
      </c>
      <c r="I54" s="5" t="s">
        <v>22</v>
      </c>
      <c r="J54" s="7" t="s">
        <v>39</v>
      </c>
      <c r="K54" s="3" t="s">
        <v>19</v>
      </c>
      <c r="L54" s="8" t="s">
        <v>24</v>
      </c>
      <c r="M54" s="5" t="s">
        <v>25</v>
      </c>
      <c r="N54" s="2" t="s">
        <v>26</v>
      </c>
      <c r="O54" s="5">
        <v>3</v>
      </c>
      <c r="P54" s="2"/>
      <c r="Q54" s="5"/>
    </row>
    <row r="55" spans="1:17" ht="15.5">
      <c r="A55" s="5">
        <v>355</v>
      </c>
      <c r="B55" s="8" t="s">
        <v>16</v>
      </c>
      <c r="C55" s="5" t="str">
        <f>HYPERLINK("http://data.overheid.nl/data/dataset/chat-deelgebieden","CHAT - deelgebieden")</f>
        <v>CHAT - deelgebieden</v>
      </c>
      <c r="D55" s="8" t="s">
        <v>17</v>
      </c>
      <c r="E55" s="5" t="s">
        <v>18</v>
      </c>
      <c r="F55" s="2" t="s">
        <v>372</v>
      </c>
      <c r="G55" s="5" t="s">
        <v>346</v>
      </c>
      <c r="H55" s="8" t="s">
        <v>21</v>
      </c>
      <c r="I55" s="5" t="s">
        <v>22</v>
      </c>
      <c r="J55" s="7" t="s">
        <v>39</v>
      </c>
      <c r="K55" s="3" t="s">
        <v>19</v>
      </c>
      <c r="L55" s="8" t="s">
        <v>24</v>
      </c>
      <c r="M55" s="5" t="s">
        <v>25</v>
      </c>
      <c r="N55" s="2" t="s">
        <v>26</v>
      </c>
      <c r="O55" s="5">
        <v>2</v>
      </c>
      <c r="P55" s="2"/>
      <c r="Q55" s="5"/>
    </row>
    <row r="56" spans="1:17" ht="15.5">
      <c r="A56" s="5">
        <v>357</v>
      </c>
      <c r="B56" s="8" t="s">
        <v>16</v>
      </c>
      <c r="C56" s="5" t="str">
        <f>HYPERLINK("http://data.overheid.nl/data/dataset/rotonde-doseer-installaties","Rotonde doseer installaties")</f>
        <v>Rotonde doseer installaties</v>
      </c>
      <c r="D56" s="8" t="s">
        <v>17</v>
      </c>
      <c r="E56" s="5" t="s">
        <v>18</v>
      </c>
      <c r="F56" s="2" t="s">
        <v>372</v>
      </c>
      <c r="G56" s="5" t="s">
        <v>348</v>
      </c>
      <c r="H56" s="8" t="s">
        <v>21</v>
      </c>
      <c r="I56" s="5" t="s">
        <v>22</v>
      </c>
      <c r="J56" s="7" t="s">
        <v>39</v>
      </c>
      <c r="K56" s="3" t="s">
        <v>19</v>
      </c>
      <c r="L56" s="8" t="s">
        <v>24</v>
      </c>
      <c r="M56" s="5" t="s">
        <v>25</v>
      </c>
      <c r="N56" s="2" t="s">
        <v>26</v>
      </c>
      <c r="O56" s="5">
        <v>2</v>
      </c>
      <c r="P56" s="2"/>
      <c r="Q56" s="5"/>
    </row>
    <row r="57" spans="1:17" ht="31">
      <c r="A57" s="5">
        <v>376</v>
      </c>
      <c r="B57" s="8" t="s">
        <v>16</v>
      </c>
      <c r="C57" s="5" t="str">
        <f>HYPERLINK("http://data.overheid.nl/data/dataset/fysisch-geografische-eenheden-vereenvoudigd","Fysisch-Geografische Eenheden, vereenvoudigd")</f>
        <v>Fysisch-Geografische Eenheden, vereenvoudigd</v>
      </c>
      <c r="D57" s="8" t="s">
        <v>17</v>
      </c>
      <c r="E57" s="5" t="s">
        <v>18</v>
      </c>
      <c r="F57" s="2" t="s">
        <v>372</v>
      </c>
      <c r="G57" s="5" t="s">
        <v>367</v>
      </c>
      <c r="H57" s="8" t="s">
        <v>21</v>
      </c>
      <c r="I57" s="5" t="s">
        <v>22</v>
      </c>
      <c r="J57" s="7" t="s">
        <v>39</v>
      </c>
      <c r="K57" s="3" t="s">
        <v>19</v>
      </c>
      <c r="L57" s="8" t="s">
        <v>24</v>
      </c>
      <c r="M57" s="5" t="s">
        <v>25</v>
      </c>
      <c r="N57" s="2" t="s">
        <v>26</v>
      </c>
      <c r="O57" s="5">
        <v>2</v>
      </c>
      <c r="P57" s="2"/>
      <c r="Q57" s="5"/>
    </row>
    <row r="58" spans="1:17" ht="31">
      <c r="A58" s="5">
        <v>377</v>
      </c>
      <c r="B58" s="8" t="s">
        <v>16</v>
      </c>
      <c r="C58" s="5" t="str">
        <f>HYPERLINK("http://data.overheid.nl/data/dataset/fysisch-geografische-eenheden","Fysisch-Geografische Eenheden")</f>
        <v>Fysisch-Geografische Eenheden</v>
      </c>
      <c r="D58" s="8" t="s">
        <v>17</v>
      </c>
      <c r="E58" s="5" t="s">
        <v>18</v>
      </c>
      <c r="F58" s="2" t="s">
        <v>372</v>
      </c>
      <c r="G58" s="5" t="s">
        <v>367</v>
      </c>
      <c r="H58" s="8" t="s">
        <v>21</v>
      </c>
      <c r="I58" s="5" t="s">
        <v>22</v>
      </c>
      <c r="J58" s="7" t="s">
        <v>39</v>
      </c>
      <c r="K58" s="3" t="s">
        <v>19</v>
      </c>
      <c r="L58" s="8" t="s">
        <v>24</v>
      </c>
      <c r="M58" s="5" t="s">
        <v>25</v>
      </c>
      <c r="N58" s="2" t="s">
        <v>26</v>
      </c>
      <c r="O58" s="5">
        <v>2</v>
      </c>
      <c r="P58" s="2"/>
      <c r="Q58" s="5"/>
    </row>
    <row r="59" spans="1:17" ht="15.5">
      <c r="A59" s="5">
        <v>1</v>
      </c>
      <c r="B59" s="8" t="s">
        <v>16</v>
      </c>
      <c r="C59" s="5" t="str">
        <f>HYPERLINK("http://data.overheid.nl/data/dataset/voortgang-verdrogingbestrijding-2003","Voortgang verdrogingbestrijding 2003")</f>
        <v>Voortgang verdrogingbestrijding 2003</v>
      </c>
      <c r="D59" s="8" t="s">
        <v>17</v>
      </c>
      <c r="E59" s="5" t="s">
        <v>18</v>
      </c>
      <c r="F59" s="2" t="s">
        <v>372</v>
      </c>
      <c r="G59" s="5" t="s">
        <v>20</v>
      </c>
      <c r="H59" s="8" t="s">
        <v>21</v>
      </c>
      <c r="I59" s="5" t="s">
        <v>22</v>
      </c>
      <c r="J59" s="4" t="s">
        <v>23</v>
      </c>
      <c r="K59" s="3" t="s">
        <v>19</v>
      </c>
      <c r="L59" s="8" t="s">
        <v>24</v>
      </c>
      <c r="M59" s="5" t="s">
        <v>25</v>
      </c>
      <c r="N59" s="2" t="s">
        <v>26</v>
      </c>
      <c r="O59" s="5">
        <v>2</v>
      </c>
      <c r="P59" s="2"/>
      <c r="Q59" s="5"/>
    </row>
    <row r="60" spans="1:17" ht="15.5">
      <c r="A60" s="5">
        <v>2</v>
      </c>
      <c r="B60" s="8" t="s">
        <v>16</v>
      </c>
      <c r="C60" s="5" t="str">
        <f>HYPERLINK("http://data.overheid.nl/data/dataset/hoofdtypen-uit-de-bodemkaart","Hoofdtypen uit de bodemkaart")</f>
        <v>Hoofdtypen uit de bodemkaart</v>
      </c>
      <c r="D60" s="8" t="s">
        <v>17</v>
      </c>
      <c r="E60" s="5" t="s">
        <v>18</v>
      </c>
      <c r="F60" s="2" t="s">
        <v>372</v>
      </c>
      <c r="G60" s="5" t="s">
        <v>27</v>
      </c>
      <c r="H60" s="8" t="s">
        <v>21</v>
      </c>
      <c r="I60" s="5" t="s">
        <v>22</v>
      </c>
      <c r="J60" s="4" t="s">
        <v>23</v>
      </c>
      <c r="K60" s="3" t="s">
        <v>19</v>
      </c>
      <c r="L60" s="8" t="s">
        <v>24</v>
      </c>
      <c r="M60" s="5" t="s">
        <v>25</v>
      </c>
      <c r="N60" s="2" t="s">
        <v>26</v>
      </c>
      <c r="O60" s="5">
        <v>1</v>
      </c>
      <c r="P60" s="2"/>
      <c r="Q60" s="5"/>
    </row>
    <row r="61" spans="1:17" ht="46.5">
      <c r="A61" s="5">
        <v>3</v>
      </c>
      <c r="B61" s="8" t="s">
        <v>16</v>
      </c>
      <c r="C61" s="5" t="str">
        <f>HYPERLINK("http://data.overheid.nl/data/dataset/grondwaterstromingssystemen","Grondwaterstromingssystemen")</f>
        <v>Grondwaterstromingssystemen</v>
      </c>
      <c r="D61" s="8" t="s">
        <v>17</v>
      </c>
      <c r="E61" s="5" t="s">
        <v>18</v>
      </c>
      <c r="F61" s="2" t="s">
        <v>372</v>
      </c>
      <c r="G61" s="5" t="s">
        <v>28</v>
      </c>
      <c r="H61" s="8" t="s">
        <v>21</v>
      </c>
      <c r="I61" s="5" t="s">
        <v>22</v>
      </c>
      <c r="J61" s="4" t="s">
        <v>23</v>
      </c>
      <c r="K61" s="3" t="s">
        <v>19</v>
      </c>
      <c r="L61" s="8" t="s">
        <v>24</v>
      </c>
      <c r="M61" s="5" t="s">
        <v>25</v>
      </c>
      <c r="N61" s="2" t="s">
        <v>26</v>
      </c>
      <c r="O61" s="5">
        <v>2</v>
      </c>
      <c r="P61" s="2"/>
      <c r="Q61" s="5"/>
    </row>
    <row r="62" spans="1:17" ht="31">
      <c r="A62" s="5">
        <v>4</v>
      </c>
      <c r="B62" s="8" t="s">
        <v>16</v>
      </c>
      <c r="C62" s="5" t="str">
        <f>HYPERLINK("http://data.overheid.nl/data/dataset/dikte-deklaag-meters","Dikte deklaag (meters)")</f>
        <v>Dikte deklaag (meters)</v>
      </c>
      <c r="D62" s="8" t="s">
        <v>17</v>
      </c>
      <c r="E62" s="5" t="s">
        <v>18</v>
      </c>
      <c r="F62" s="2" t="s">
        <v>372</v>
      </c>
      <c r="G62" s="5" t="s">
        <v>29</v>
      </c>
      <c r="H62" s="8" t="s">
        <v>21</v>
      </c>
      <c r="I62" s="5" t="s">
        <v>22</v>
      </c>
      <c r="J62" s="4" t="s">
        <v>23</v>
      </c>
      <c r="K62" s="3" t="s">
        <v>19</v>
      </c>
      <c r="L62" s="8" t="s">
        <v>24</v>
      </c>
      <c r="M62" s="5" t="s">
        <v>25</v>
      </c>
      <c r="N62" s="2" t="s">
        <v>26</v>
      </c>
      <c r="O62" s="5">
        <v>2</v>
      </c>
      <c r="P62" s="2"/>
      <c r="Q62" s="5"/>
    </row>
    <row r="63" spans="1:17" ht="15.5">
      <c r="A63" s="5">
        <v>5</v>
      </c>
      <c r="B63" s="8" t="s">
        <v>16</v>
      </c>
      <c r="C63" s="5" t="str">
        <f>HYPERLINK("http://data.overheid.nl/data/dataset/grondwaterstroomlijnenkaart","Grondwaterstroomlijnenkaart")</f>
        <v>Grondwaterstroomlijnenkaart</v>
      </c>
      <c r="D63" s="8" t="s">
        <v>17</v>
      </c>
      <c r="E63" s="5" t="s">
        <v>18</v>
      </c>
      <c r="F63" s="2" t="s">
        <v>372</v>
      </c>
      <c r="G63" s="5" t="s">
        <v>30</v>
      </c>
      <c r="H63" s="8" t="s">
        <v>21</v>
      </c>
      <c r="I63" s="5" t="s">
        <v>22</v>
      </c>
      <c r="J63" s="4" t="s">
        <v>23</v>
      </c>
      <c r="K63" s="3" t="s">
        <v>19</v>
      </c>
      <c r="L63" s="8" t="s">
        <v>24</v>
      </c>
      <c r="M63" s="5" t="s">
        <v>25</v>
      </c>
      <c r="N63" s="2" t="s">
        <v>26</v>
      </c>
      <c r="O63" s="5">
        <v>2</v>
      </c>
      <c r="P63" s="2"/>
      <c r="Q63" s="5"/>
    </row>
    <row r="64" spans="1:17" ht="46.5">
      <c r="A64" s="5">
        <v>6</v>
      </c>
      <c r="B64" s="8" t="s">
        <v>16</v>
      </c>
      <c r="C64" s="5" t="str">
        <f>HYPERLINK("http://data.overheid.nl/data/dataset/prioritaire-gebieden-natuurnetwerknederland","Prioritaire gebieden - NatuurNetwerkNederland")</f>
        <v>Prioritaire gebieden - NatuurNetwerkNederland</v>
      </c>
      <c r="D64" s="8" t="s">
        <v>17</v>
      </c>
      <c r="E64" s="5" t="s">
        <v>18</v>
      </c>
      <c r="F64" s="2" t="s">
        <v>372</v>
      </c>
      <c r="G64" s="5" t="s">
        <v>31</v>
      </c>
      <c r="H64" s="8" t="s">
        <v>21</v>
      </c>
      <c r="I64" s="5" t="s">
        <v>22</v>
      </c>
      <c r="J64" s="4" t="s">
        <v>23</v>
      </c>
      <c r="K64" s="3" t="s">
        <v>19</v>
      </c>
      <c r="L64" s="8" t="s">
        <v>24</v>
      </c>
      <c r="M64" s="5" t="s">
        <v>25</v>
      </c>
      <c r="N64" s="2" t="s">
        <v>26</v>
      </c>
      <c r="O64" s="5">
        <v>2</v>
      </c>
      <c r="P64" s="2"/>
      <c r="Q64" s="5"/>
    </row>
    <row r="65" spans="1:17" ht="279">
      <c r="A65" s="5">
        <v>7</v>
      </c>
      <c r="B65" s="8" t="s">
        <v>16</v>
      </c>
      <c r="C65" s="5" t="str">
        <f>HYPERLINK("http://data.overheid.nl/data/dataset/nationale-landschappen-01","Nationale Landschappen")</f>
        <v>Nationale Landschappen</v>
      </c>
      <c r="D65" s="8" t="s">
        <v>17</v>
      </c>
      <c r="E65" s="5" t="s">
        <v>18</v>
      </c>
      <c r="F65" s="2" t="s">
        <v>372</v>
      </c>
      <c r="G65" s="5" t="s">
        <v>32</v>
      </c>
      <c r="H65" s="8" t="s">
        <v>21</v>
      </c>
      <c r="I65" s="5" t="s">
        <v>22</v>
      </c>
      <c r="J65" s="4" t="s">
        <v>23</v>
      </c>
      <c r="K65" s="3" t="s">
        <v>19</v>
      </c>
      <c r="L65" s="8" t="s">
        <v>24</v>
      </c>
      <c r="M65" s="5" t="s">
        <v>25</v>
      </c>
      <c r="N65" s="2" t="s">
        <v>26</v>
      </c>
      <c r="O65" s="5">
        <v>2</v>
      </c>
      <c r="P65" s="2"/>
      <c r="Q65" s="5"/>
    </row>
    <row r="66" spans="1:17" ht="31">
      <c r="A66" s="5">
        <v>8</v>
      </c>
      <c r="B66" s="8" t="s">
        <v>16</v>
      </c>
      <c r="C66" s="5" t="str">
        <f>HYPERLINK("http://data.overheid.nl/data/dataset/recreatiegebieden","Recreatiegebieden")</f>
        <v>Recreatiegebieden</v>
      </c>
      <c r="D66" s="8" t="s">
        <v>17</v>
      </c>
      <c r="E66" s="5" t="s">
        <v>18</v>
      </c>
      <c r="F66" s="2" t="s">
        <v>372</v>
      </c>
      <c r="G66" s="5" t="s">
        <v>33</v>
      </c>
      <c r="H66" s="8" t="s">
        <v>21</v>
      </c>
      <c r="I66" s="5" t="s">
        <v>22</v>
      </c>
      <c r="J66" s="4" t="s">
        <v>23</v>
      </c>
      <c r="K66" s="3" t="s">
        <v>19</v>
      </c>
      <c r="L66" s="8" t="s">
        <v>24</v>
      </c>
      <c r="M66" s="5" t="s">
        <v>25</v>
      </c>
      <c r="N66" s="2" t="s">
        <v>26</v>
      </c>
      <c r="O66" s="5">
        <v>3</v>
      </c>
      <c r="P66" s="2"/>
      <c r="Q66" s="5"/>
    </row>
    <row r="67" spans="1:17" ht="15.5">
      <c r="A67" s="5">
        <v>9</v>
      </c>
      <c r="B67" s="8" t="s">
        <v>16</v>
      </c>
      <c r="C67" s="5" t="str">
        <f>HYPERLINK("http://data.overheid.nl/data/dataset/maaien-beeldbeheer","Maaien beeldbeheer")</f>
        <v>Maaien beeldbeheer</v>
      </c>
      <c r="D67" s="8" t="s">
        <v>17</v>
      </c>
      <c r="E67" s="5" t="s">
        <v>18</v>
      </c>
      <c r="F67" s="2" t="s">
        <v>372</v>
      </c>
      <c r="G67" s="5" t="s">
        <v>34</v>
      </c>
      <c r="H67" s="8" t="s">
        <v>21</v>
      </c>
      <c r="I67" s="5" t="s">
        <v>22</v>
      </c>
      <c r="J67" s="4" t="s">
        <v>23</v>
      </c>
      <c r="K67" s="3" t="s">
        <v>19</v>
      </c>
      <c r="L67" s="8" t="s">
        <v>24</v>
      </c>
      <c r="M67" s="5" t="s">
        <v>25</v>
      </c>
      <c r="N67" s="2" t="s">
        <v>26</v>
      </c>
      <c r="O67" s="5">
        <v>2</v>
      </c>
      <c r="P67" s="2"/>
      <c r="Q67" s="5"/>
    </row>
    <row r="68" spans="1:17" ht="15.5">
      <c r="A68" s="5">
        <v>10</v>
      </c>
      <c r="B68" s="8" t="s">
        <v>16</v>
      </c>
      <c r="C68" s="5" t="str">
        <f>HYPERLINK("http://data.overheid.nl/data/dataset/groengas-vulpunten","Groengas vulpunten")</f>
        <v>Groengas vulpunten</v>
      </c>
      <c r="D68" s="8" t="s">
        <v>17</v>
      </c>
      <c r="E68" s="5" t="s">
        <v>18</v>
      </c>
      <c r="F68" s="2" t="s">
        <v>372</v>
      </c>
      <c r="G68" s="5" t="s">
        <v>35</v>
      </c>
      <c r="H68" s="8" t="s">
        <v>21</v>
      </c>
      <c r="I68" s="5" t="s">
        <v>22</v>
      </c>
      <c r="J68" s="4" t="s">
        <v>23</v>
      </c>
      <c r="K68" s="3" t="s">
        <v>19</v>
      </c>
      <c r="L68" s="8" t="s">
        <v>24</v>
      </c>
      <c r="M68" s="5" t="s">
        <v>25</v>
      </c>
      <c r="N68" s="2" t="s">
        <v>26</v>
      </c>
      <c r="O68" s="5">
        <v>2</v>
      </c>
      <c r="P68" s="2"/>
      <c r="Q68" s="5"/>
    </row>
    <row r="69" spans="1:17" ht="15.5">
      <c r="A69" s="5">
        <v>11</v>
      </c>
      <c r="B69" s="8" t="s">
        <v>16</v>
      </c>
      <c r="C69" s="5" t="str">
        <f>HYPERLINK("http://data.overheid.nl/data/dataset/waterkeringen-2010","Waterkeringen 2010")</f>
        <v>Waterkeringen 2010</v>
      </c>
      <c r="D69" s="8" t="s">
        <v>17</v>
      </c>
      <c r="E69" s="5" t="s">
        <v>18</v>
      </c>
      <c r="F69" s="2" t="s">
        <v>372</v>
      </c>
      <c r="G69" s="5" t="s">
        <v>36</v>
      </c>
      <c r="H69" s="8" t="s">
        <v>21</v>
      </c>
      <c r="I69" s="5" t="s">
        <v>22</v>
      </c>
      <c r="J69" s="4" t="s">
        <v>23</v>
      </c>
      <c r="K69" s="3" t="s">
        <v>19</v>
      </c>
      <c r="L69" s="8" t="s">
        <v>24</v>
      </c>
      <c r="M69" s="5" t="s">
        <v>25</v>
      </c>
      <c r="N69" s="2" t="s">
        <v>26</v>
      </c>
      <c r="O69" s="5">
        <v>2</v>
      </c>
      <c r="P69" s="2"/>
      <c r="Q69" s="5"/>
    </row>
    <row r="70" spans="1:17" ht="46.5">
      <c r="A70" s="5">
        <v>12</v>
      </c>
      <c r="B70" s="8" t="s">
        <v>16</v>
      </c>
      <c r="C70" s="5" t="str">
        <f>HYPERLINK("http://data.overheid.nl/data/dataset/grondwaterkwantiteit-meetnet","grondwaterkwantiteit meetnet")</f>
        <v>grondwaterkwantiteit meetnet</v>
      </c>
      <c r="D70" s="8" t="s">
        <v>17</v>
      </c>
      <c r="E70" s="5" t="s">
        <v>18</v>
      </c>
      <c r="F70" s="2" t="s">
        <v>372</v>
      </c>
      <c r="G70" s="5" t="s">
        <v>37</v>
      </c>
      <c r="H70" s="8" t="s">
        <v>21</v>
      </c>
      <c r="I70" s="5" t="s">
        <v>22</v>
      </c>
      <c r="J70" s="4" t="s">
        <v>23</v>
      </c>
      <c r="K70" s="3" t="s">
        <v>19</v>
      </c>
      <c r="L70" s="8" t="s">
        <v>24</v>
      </c>
      <c r="M70" s="5" t="s">
        <v>25</v>
      </c>
      <c r="N70" s="2" t="s">
        <v>26</v>
      </c>
      <c r="O70" s="5">
        <v>2</v>
      </c>
      <c r="P70" s="2"/>
      <c r="Q70" s="5"/>
    </row>
    <row r="71" spans="1:17" ht="31">
      <c r="A71" s="5">
        <v>15</v>
      </c>
      <c r="B71" s="8" t="s">
        <v>16</v>
      </c>
      <c r="C71" s="5" t="str">
        <f>HYPERLINK("http://data.overheid.nl/data/dataset/locaties-van-verkeersregelinstallaties","Locaties van verkeersregelinstallaties")</f>
        <v>Locaties van verkeersregelinstallaties</v>
      </c>
      <c r="D71" s="8" t="s">
        <v>17</v>
      </c>
      <c r="E71" s="5" t="s">
        <v>18</v>
      </c>
      <c r="F71" s="2" t="s">
        <v>372</v>
      </c>
      <c r="G71" s="5" t="s">
        <v>41</v>
      </c>
      <c r="H71" s="8" t="s">
        <v>21</v>
      </c>
      <c r="I71" s="5" t="s">
        <v>22</v>
      </c>
      <c r="J71" s="4" t="s">
        <v>23</v>
      </c>
      <c r="K71" s="3" t="s">
        <v>19</v>
      </c>
      <c r="L71" s="8" t="s">
        <v>24</v>
      </c>
      <c r="M71" s="5" t="s">
        <v>25</v>
      </c>
      <c r="N71" s="2" t="s">
        <v>26</v>
      </c>
      <c r="O71" s="5">
        <v>2</v>
      </c>
      <c r="P71" s="2"/>
      <c r="Q71" s="5"/>
    </row>
    <row r="72" spans="1:17" ht="186">
      <c r="A72" s="5">
        <v>17</v>
      </c>
      <c r="B72" s="8" t="s">
        <v>16</v>
      </c>
      <c r="C72" s="5" t="str">
        <f>HYPERLINK("http://data.overheid.nl/data/dataset/beschikbaar-wegennet-met-categorien","Beschikbaar wegennet met categorien")</f>
        <v>Beschikbaar wegennet met categorien</v>
      </c>
      <c r="D72" s="8" t="s">
        <v>17</v>
      </c>
      <c r="E72" s="5" t="s">
        <v>18</v>
      </c>
      <c r="F72" s="2" t="s">
        <v>372</v>
      </c>
      <c r="G72" s="5" t="s">
        <v>43</v>
      </c>
      <c r="H72" s="8" t="s">
        <v>21</v>
      </c>
      <c r="I72" s="5" t="s">
        <v>22</v>
      </c>
      <c r="J72" s="4" t="s">
        <v>23</v>
      </c>
      <c r="K72" s="3" t="s">
        <v>19</v>
      </c>
      <c r="L72" s="8" t="s">
        <v>24</v>
      </c>
      <c r="M72" s="5" t="s">
        <v>25</v>
      </c>
      <c r="N72" s="2" t="s">
        <v>26</v>
      </c>
      <c r="O72" s="5">
        <v>2</v>
      </c>
      <c r="P72" s="2"/>
      <c r="Q72" s="5"/>
    </row>
    <row r="73" spans="1:17" ht="77.5">
      <c r="A73" s="5">
        <v>20</v>
      </c>
      <c r="B73" s="8" t="s">
        <v>16</v>
      </c>
      <c r="C73" s="5" t="str">
        <f>HYPERLINK("http://data.overheid.nl/data/dataset/geluidsbelasting-prov-wegen-2e-tranche-lden-eu-richtlijn-omgevingslawaai","Geluidsbelasting prov. wegen 2e tranche Lden EU-richtlijn Omgevingslawaai")</f>
        <v>Geluidsbelasting prov. wegen 2e tranche Lden EU-richtlijn Omgevingslawaai</v>
      </c>
      <c r="D73" s="8" t="s">
        <v>17</v>
      </c>
      <c r="E73" s="5" t="s">
        <v>46</v>
      </c>
      <c r="F73" s="2" t="s">
        <v>372</v>
      </c>
      <c r="G73" s="5" t="s">
        <v>47</v>
      </c>
      <c r="H73" s="8" t="s">
        <v>21</v>
      </c>
      <c r="I73" s="5" t="s">
        <v>22</v>
      </c>
      <c r="J73" s="4" t="s">
        <v>23</v>
      </c>
      <c r="K73" s="3" t="s">
        <v>19</v>
      </c>
      <c r="L73" s="8" t="s">
        <v>24</v>
      </c>
      <c r="M73" s="5" t="s">
        <v>25</v>
      </c>
      <c r="N73" s="2" t="s">
        <v>26</v>
      </c>
      <c r="O73" s="5">
        <v>2</v>
      </c>
      <c r="P73" s="2"/>
      <c r="Q73" s="5"/>
    </row>
    <row r="74" spans="1:17" ht="15.5">
      <c r="A74" s="5">
        <v>22</v>
      </c>
      <c r="B74" s="8" t="s">
        <v>16</v>
      </c>
      <c r="C74" s="5" t="str">
        <f>HYPERLINK("http://data.overheid.nl/data/dataset/geluidcontouren-wegverkeer-2000","Geluidcontouren wegverkeer 2000")</f>
        <v>Geluidcontouren wegverkeer 2000</v>
      </c>
      <c r="D74" s="8" t="s">
        <v>17</v>
      </c>
      <c r="E74" s="5" t="s">
        <v>18</v>
      </c>
      <c r="F74" s="2" t="s">
        <v>372</v>
      </c>
      <c r="G74" s="5" t="s">
        <v>49</v>
      </c>
      <c r="H74" s="8" t="s">
        <v>21</v>
      </c>
      <c r="I74" s="5" t="s">
        <v>22</v>
      </c>
      <c r="J74" s="4" t="s">
        <v>23</v>
      </c>
      <c r="K74" s="3" t="s">
        <v>19</v>
      </c>
      <c r="L74" s="8" t="s">
        <v>24</v>
      </c>
      <c r="M74" s="5" t="s">
        <v>25</v>
      </c>
      <c r="N74" s="2" t="s">
        <v>26</v>
      </c>
      <c r="O74" s="5">
        <v>2</v>
      </c>
      <c r="P74" s="2"/>
      <c r="Q74" s="5"/>
    </row>
    <row r="75" spans="1:17" ht="15.5">
      <c r="A75" s="5">
        <v>24</v>
      </c>
      <c r="B75" s="8" t="s">
        <v>16</v>
      </c>
      <c r="C75" s="5" t="str">
        <f>HYPERLINK("http://data.overheid.nl/data/dataset/geluidcontouren-weg-en-spoorverkeer-2000","Geluidcontouren weg- en spoorverkeer 2000")</f>
        <v>Geluidcontouren weg- en spoorverkeer 2000</v>
      </c>
      <c r="D75" s="8" t="s">
        <v>17</v>
      </c>
      <c r="E75" s="5" t="s">
        <v>18</v>
      </c>
      <c r="F75" s="2" t="s">
        <v>372</v>
      </c>
      <c r="G75" s="5" t="s">
        <v>51</v>
      </c>
      <c r="H75" s="8" t="s">
        <v>21</v>
      </c>
      <c r="I75" s="5" t="s">
        <v>22</v>
      </c>
      <c r="J75" s="4" t="s">
        <v>23</v>
      </c>
      <c r="K75" s="3" t="s">
        <v>19</v>
      </c>
      <c r="L75" s="8" t="s">
        <v>24</v>
      </c>
      <c r="M75" s="5" t="s">
        <v>25</v>
      </c>
      <c r="N75" s="2" t="s">
        <v>26</v>
      </c>
      <c r="O75" s="5">
        <v>2</v>
      </c>
      <c r="P75" s="2"/>
      <c r="Q75" s="5"/>
    </row>
    <row r="76" spans="1:17" ht="31">
      <c r="A76" s="5">
        <v>26</v>
      </c>
      <c r="B76" s="8" t="s">
        <v>16</v>
      </c>
      <c r="C76" s="5" t="str">
        <f>HYPERLINK("http://data.overheid.nl/data/dataset/dijkringen","Dijkringen")</f>
        <v>Dijkringen</v>
      </c>
      <c r="D76" s="8" t="s">
        <v>17</v>
      </c>
      <c r="E76" s="5" t="s">
        <v>18</v>
      </c>
      <c r="F76" s="2" t="s">
        <v>372</v>
      </c>
      <c r="G76" s="5" t="s">
        <v>53</v>
      </c>
      <c r="H76" s="8" t="s">
        <v>21</v>
      </c>
      <c r="I76" s="5" t="s">
        <v>22</v>
      </c>
      <c r="J76" s="4" t="s">
        <v>23</v>
      </c>
      <c r="K76" s="3" t="s">
        <v>19</v>
      </c>
      <c r="L76" s="8" t="s">
        <v>24</v>
      </c>
      <c r="M76" s="5" t="s">
        <v>25</v>
      </c>
      <c r="N76" s="2" t="s">
        <v>26</v>
      </c>
      <c r="O76" s="5">
        <v>2</v>
      </c>
      <c r="P76" s="2"/>
      <c r="Q76" s="5"/>
    </row>
    <row r="77" spans="1:17" ht="46.5">
      <c r="A77" s="5">
        <v>27</v>
      </c>
      <c r="B77" s="8" t="s">
        <v>16</v>
      </c>
      <c r="C77" s="5" t="str">
        <f>HYPERLINK("http://data.overheid.nl/data/dataset/natuurbeheerplan-2017-toeslagen","Natuurbeheerplan 2017 - Toeslagen")</f>
        <v>Natuurbeheerplan 2017 - Toeslagen</v>
      </c>
      <c r="D77" s="8" t="s">
        <v>17</v>
      </c>
      <c r="E77" s="5" t="s">
        <v>18</v>
      </c>
      <c r="F77" s="2" t="s">
        <v>372</v>
      </c>
      <c r="G77" s="5" t="s">
        <v>54</v>
      </c>
      <c r="H77" s="8" t="s">
        <v>21</v>
      </c>
      <c r="I77" s="5" t="s">
        <v>22</v>
      </c>
      <c r="J77" s="4" t="s">
        <v>23</v>
      </c>
      <c r="K77" s="3" t="s">
        <v>19</v>
      </c>
      <c r="L77" s="8" t="s">
        <v>24</v>
      </c>
      <c r="M77" s="5" t="s">
        <v>25</v>
      </c>
      <c r="N77" s="2" t="s">
        <v>26</v>
      </c>
      <c r="O77" s="5">
        <v>2</v>
      </c>
      <c r="P77" s="2"/>
      <c r="Q77" s="5"/>
    </row>
    <row r="78" spans="1:17" ht="31">
      <c r="A78" s="5">
        <v>28</v>
      </c>
      <c r="B78" s="8" t="s">
        <v>16</v>
      </c>
      <c r="C78" s="5" t="str">
        <f>HYPERLINK("http://data.overheid.nl/data/dataset/natuurbeheerplan-2017-deelgebied","Natuurbeheerplan 2017 - Deelgebied")</f>
        <v>Natuurbeheerplan 2017 - Deelgebied</v>
      </c>
      <c r="D78" s="8" t="s">
        <v>17</v>
      </c>
      <c r="E78" s="5" t="s">
        <v>18</v>
      </c>
      <c r="F78" s="2" t="s">
        <v>372</v>
      </c>
      <c r="G78" s="5" t="s">
        <v>55</v>
      </c>
      <c r="H78" s="8" t="s">
        <v>21</v>
      </c>
      <c r="I78" s="5" t="s">
        <v>22</v>
      </c>
      <c r="J78" s="4" t="s">
        <v>23</v>
      </c>
      <c r="K78" s="3" t="s">
        <v>19</v>
      </c>
      <c r="L78" s="8" t="s">
        <v>24</v>
      </c>
      <c r="M78" s="5" t="s">
        <v>25</v>
      </c>
      <c r="N78" s="2" t="s">
        <v>26</v>
      </c>
      <c r="O78" s="5">
        <v>2</v>
      </c>
      <c r="P78" s="2"/>
      <c r="Q78" s="5"/>
    </row>
    <row r="79" spans="1:17" ht="62">
      <c r="A79" s="5">
        <v>29</v>
      </c>
      <c r="B79" s="8" t="s">
        <v>16</v>
      </c>
      <c r="C79" s="5" t="str">
        <f>HYPERLINK("http://data.overheid.nl/data/dataset/natuurbeheerplan-2017-categorie-water","Natuurbeheerplan 2017 - Categorie water")</f>
        <v>Natuurbeheerplan 2017 - Categorie water</v>
      </c>
      <c r="D79" s="8" t="s">
        <v>17</v>
      </c>
      <c r="E79" s="5" t="s">
        <v>18</v>
      </c>
      <c r="F79" s="2" t="s">
        <v>372</v>
      </c>
      <c r="G79" s="5" t="s">
        <v>56</v>
      </c>
      <c r="H79" s="8" t="s">
        <v>21</v>
      </c>
      <c r="I79" s="5" t="s">
        <v>22</v>
      </c>
      <c r="J79" s="4" t="s">
        <v>23</v>
      </c>
      <c r="K79" s="3" t="s">
        <v>19</v>
      </c>
      <c r="L79" s="8" t="s">
        <v>24</v>
      </c>
      <c r="M79" s="5" t="s">
        <v>25</v>
      </c>
      <c r="N79" s="2" t="s">
        <v>26</v>
      </c>
      <c r="O79" s="5">
        <v>4</v>
      </c>
      <c r="P79" s="2"/>
      <c r="Q79" s="5"/>
    </row>
    <row r="80" spans="1:17" ht="62">
      <c r="A80" s="5">
        <v>30</v>
      </c>
      <c r="B80" s="8" t="s">
        <v>16</v>
      </c>
      <c r="C80" s="5" t="str">
        <f>HYPERLINK("http://data.overheid.nl/data/dataset/natuurbeheerplan-2017-beheergebied-ambitie","Natuurbeheerplan 2017 - Beheergebied ambitie")</f>
        <v>Natuurbeheerplan 2017 - Beheergebied ambitie</v>
      </c>
      <c r="D80" s="8" t="s">
        <v>17</v>
      </c>
      <c r="E80" s="5" t="s">
        <v>18</v>
      </c>
      <c r="F80" s="2" t="s">
        <v>372</v>
      </c>
      <c r="G80" s="5" t="s">
        <v>57</v>
      </c>
      <c r="H80" s="8" t="s">
        <v>21</v>
      </c>
      <c r="I80" s="5" t="s">
        <v>22</v>
      </c>
      <c r="J80" s="4" t="s">
        <v>23</v>
      </c>
      <c r="K80" s="3" t="s">
        <v>19</v>
      </c>
      <c r="L80" s="8" t="s">
        <v>24</v>
      </c>
      <c r="M80" s="5" t="s">
        <v>25</v>
      </c>
      <c r="N80" s="2" t="s">
        <v>26</v>
      </c>
      <c r="O80" s="5">
        <v>2</v>
      </c>
      <c r="P80" s="2"/>
      <c r="Q80" s="5"/>
    </row>
    <row r="81" spans="1:17" ht="46.5">
      <c r="A81" s="5">
        <v>31</v>
      </c>
      <c r="B81" s="8" t="s">
        <v>16</v>
      </c>
      <c r="C81" s="5" t="str">
        <f>HYPERLINK("http://data.overheid.nl/data/dataset/natuurbeheerplan-2017-beheergebied","Natuurbeheerplan 2017 - Beheergebied")</f>
        <v>Natuurbeheerplan 2017 - Beheergebied</v>
      </c>
      <c r="D81" s="8" t="s">
        <v>17</v>
      </c>
      <c r="E81" s="5" t="s">
        <v>18</v>
      </c>
      <c r="F81" s="2" t="s">
        <v>372</v>
      </c>
      <c r="G81" s="5" t="s">
        <v>58</v>
      </c>
      <c r="H81" s="8" t="s">
        <v>21</v>
      </c>
      <c r="I81" s="5" t="s">
        <v>22</v>
      </c>
      <c r="J81" s="4" t="s">
        <v>23</v>
      </c>
      <c r="K81" s="3" t="s">
        <v>19</v>
      </c>
      <c r="L81" s="8" t="s">
        <v>24</v>
      </c>
      <c r="M81" s="5" t="s">
        <v>25</v>
      </c>
      <c r="N81" s="2" t="s">
        <v>26</v>
      </c>
      <c r="O81" s="5">
        <v>4</v>
      </c>
      <c r="P81" s="2"/>
      <c r="Q81" s="5"/>
    </row>
    <row r="82" spans="1:17" ht="31">
      <c r="A82" s="5">
        <v>32</v>
      </c>
      <c r="B82" s="8" t="s">
        <v>16</v>
      </c>
      <c r="C82" s="5" t="str">
        <f>HYPERLINK("http://data.overheid.nl/data/dataset/natuurbeheerplan-2017-begrenzing-natuur","Natuurbeheerplan 2017 - Begrenzing natuur")</f>
        <v>Natuurbeheerplan 2017 - Begrenzing natuur</v>
      </c>
      <c r="D82" s="8" t="s">
        <v>17</v>
      </c>
      <c r="E82" s="5" t="s">
        <v>18</v>
      </c>
      <c r="F82" s="2" t="s">
        <v>372</v>
      </c>
      <c r="G82" s="5" t="s">
        <v>59</v>
      </c>
      <c r="H82" s="8" t="s">
        <v>21</v>
      </c>
      <c r="I82" s="5" t="s">
        <v>22</v>
      </c>
      <c r="J82" s="4" t="s">
        <v>23</v>
      </c>
      <c r="K82" s="3" t="s">
        <v>19</v>
      </c>
      <c r="L82" s="8" t="s">
        <v>24</v>
      </c>
      <c r="M82" s="5" t="s">
        <v>25</v>
      </c>
      <c r="N82" s="2" t="s">
        <v>26</v>
      </c>
      <c r="O82" s="5">
        <v>2</v>
      </c>
      <c r="P82" s="2"/>
      <c r="Q82" s="5"/>
    </row>
    <row r="83" spans="1:17" ht="31">
      <c r="A83" s="5">
        <v>33</v>
      </c>
      <c r="B83" s="8" t="s">
        <v>16</v>
      </c>
      <c r="C83" s="5" t="str">
        <f>HYPERLINK("http://data.overheid.nl/data/dataset/natuurbeheerplan-2017-agrarisch-zoekgebied","Natuurbeheerplan 2017 - Agrarisch zoekgebied")</f>
        <v>Natuurbeheerplan 2017 - Agrarisch zoekgebied</v>
      </c>
      <c r="D83" s="8" t="s">
        <v>17</v>
      </c>
      <c r="E83" s="5" t="s">
        <v>18</v>
      </c>
      <c r="F83" s="2" t="s">
        <v>372</v>
      </c>
      <c r="G83" s="5" t="s">
        <v>60</v>
      </c>
      <c r="H83" s="8" t="s">
        <v>21</v>
      </c>
      <c r="I83" s="5" t="s">
        <v>22</v>
      </c>
      <c r="J83" s="4" t="s">
        <v>23</v>
      </c>
      <c r="K83" s="3" t="s">
        <v>19</v>
      </c>
      <c r="L83" s="8" t="s">
        <v>24</v>
      </c>
      <c r="M83" s="5" t="s">
        <v>25</v>
      </c>
      <c r="N83" s="2" t="s">
        <v>26</v>
      </c>
      <c r="O83" s="5">
        <v>10</v>
      </c>
      <c r="P83" s="2"/>
      <c r="Q83" s="5"/>
    </row>
    <row r="84" spans="1:17" ht="15.5">
      <c r="A84" s="5">
        <v>34</v>
      </c>
      <c r="B84" s="8" t="s">
        <v>16</v>
      </c>
      <c r="C84" s="5" t="str">
        <f>HYPERLINK("http://data.overheid.nl/data/dataset/vereenvoudige-bodemkaart","Vereenvoudige bodemkaart")</f>
        <v>Vereenvoudige bodemkaart</v>
      </c>
      <c r="D84" s="8" t="s">
        <v>17</v>
      </c>
      <c r="E84" s="5" t="s">
        <v>18</v>
      </c>
      <c r="F84" s="2" t="s">
        <v>372</v>
      </c>
      <c r="G84" s="5" t="s">
        <v>61</v>
      </c>
      <c r="H84" s="8" t="s">
        <v>21</v>
      </c>
      <c r="I84" s="5" t="s">
        <v>22</v>
      </c>
      <c r="J84" s="4" t="s">
        <v>23</v>
      </c>
      <c r="K84" s="3" t="s">
        <v>19</v>
      </c>
      <c r="L84" s="8" t="s">
        <v>24</v>
      </c>
      <c r="M84" s="5" t="s">
        <v>25</v>
      </c>
      <c r="N84" s="2" t="s">
        <v>26</v>
      </c>
      <c r="O84" s="5">
        <v>2</v>
      </c>
      <c r="P84" s="2"/>
      <c r="Q84" s="5"/>
    </row>
    <row r="85" spans="1:17" ht="31">
      <c r="A85" s="5">
        <v>36</v>
      </c>
      <c r="B85" s="8" t="s">
        <v>16</v>
      </c>
      <c r="C85" s="5" t="str">
        <f>HYPERLINK("http://data.overheid.nl/data/dataset/waardemeter-forten-nieuwe-hollandse-waterlinie","Waardemeter forten Nieuwe Hollandse Waterlinie")</f>
        <v>Waardemeter forten Nieuwe Hollandse Waterlinie</v>
      </c>
      <c r="D85" s="8" t="s">
        <v>17</v>
      </c>
      <c r="E85" s="5" t="s">
        <v>18</v>
      </c>
      <c r="F85" s="2" t="s">
        <v>372</v>
      </c>
      <c r="G85" s="5" t="s">
        <v>63</v>
      </c>
      <c r="H85" s="8" t="s">
        <v>21</v>
      </c>
      <c r="I85" s="5" t="s">
        <v>22</v>
      </c>
      <c r="J85" s="4" t="s">
        <v>23</v>
      </c>
      <c r="K85" s="3" t="s">
        <v>19</v>
      </c>
      <c r="L85" s="8" t="s">
        <v>24</v>
      </c>
      <c r="M85" s="5" t="s">
        <v>25</v>
      </c>
      <c r="N85" s="2" t="s">
        <v>26</v>
      </c>
      <c r="O85" s="5">
        <v>1</v>
      </c>
      <c r="P85" s="2"/>
      <c r="Q85" s="5"/>
    </row>
    <row r="86" spans="1:17" ht="31">
      <c r="A86" s="5">
        <v>37</v>
      </c>
      <c r="B86" s="8" t="s">
        <v>16</v>
      </c>
      <c r="C86" s="5" t="str">
        <f>HYPERLINK("http://data.overheid.nl/data/dataset/nationaal-park-utrechtse-heuvelrug","Nationaal Park Utrechtse Heuvelrug")</f>
        <v>Nationaal Park Utrechtse Heuvelrug</v>
      </c>
      <c r="D86" s="8" t="s">
        <v>17</v>
      </c>
      <c r="E86" s="5" t="s">
        <v>18</v>
      </c>
      <c r="F86" s="2" t="s">
        <v>372</v>
      </c>
      <c r="G86" s="5" t="s">
        <v>64</v>
      </c>
      <c r="H86" s="8" t="s">
        <v>21</v>
      </c>
      <c r="I86" s="5" t="s">
        <v>22</v>
      </c>
      <c r="J86" s="4" t="s">
        <v>23</v>
      </c>
      <c r="K86" s="3" t="s">
        <v>19</v>
      </c>
      <c r="L86" s="8" t="s">
        <v>24</v>
      </c>
      <c r="M86" s="5" t="s">
        <v>25</v>
      </c>
      <c r="N86" s="2" t="s">
        <v>26</v>
      </c>
      <c r="O86" s="5">
        <v>2</v>
      </c>
      <c r="P86" s="2"/>
      <c r="Q86" s="5"/>
    </row>
    <row r="87" spans="1:17" ht="77.5">
      <c r="A87" s="5">
        <v>38</v>
      </c>
      <c r="B87" s="8" t="s">
        <v>16</v>
      </c>
      <c r="C87" s="5" t="str">
        <f>HYPERLINK("http://data.overheid.nl/data/dataset/ges-contouren-pm10-wegen","GES-contouren PM10 - wegen")</f>
        <v>GES-contouren PM10 - wegen</v>
      </c>
      <c r="D87" s="8" t="s">
        <v>17</v>
      </c>
      <c r="E87" s="5" t="s">
        <v>18</v>
      </c>
      <c r="F87" s="2" t="s">
        <v>372</v>
      </c>
      <c r="G87" s="5" t="s">
        <v>65</v>
      </c>
      <c r="H87" s="8" t="s">
        <v>21</v>
      </c>
      <c r="I87" s="5" t="s">
        <v>22</v>
      </c>
      <c r="J87" s="4" t="s">
        <v>23</v>
      </c>
      <c r="K87" s="3" t="s">
        <v>19</v>
      </c>
      <c r="L87" s="8" t="s">
        <v>24</v>
      </c>
      <c r="M87" s="5" t="s">
        <v>25</v>
      </c>
      <c r="N87" s="2" t="s">
        <v>26</v>
      </c>
      <c r="O87" s="5">
        <v>2</v>
      </c>
      <c r="P87" s="2"/>
      <c r="Q87" s="5"/>
    </row>
    <row r="88" spans="1:17" ht="124">
      <c r="A88" s="5">
        <v>40</v>
      </c>
      <c r="B88" s="8" t="s">
        <v>16</v>
      </c>
      <c r="C88" s="5" t="str">
        <f>HYPERLINK("http://data.overheid.nl/data/dataset/ges-contouren-geluid-als-gevolg-van-bedrijven","GES-contouren geluid  als gevolg van bedrijven")</f>
        <v>GES-contouren geluid  als gevolg van bedrijven</v>
      </c>
      <c r="D88" s="8" t="s">
        <v>17</v>
      </c>
      <c r="E88" s="5" t="s">
        <v>18</v>
      </c>
      <c r="F88" s="2" t="s">
        <v>372</v>
      </c>
      <c r="G88" s="5" t="s">
        <v>67</v>
      </c>
      <c r="H88" s="8" t="s">
        <v>21</v>
      </c>
      <c r="I88" s="5" t="s">
        <v>22</v>
      </c>
      <c r="J88" s="4" t="s">
        <v>23</v>
      </c>
      <c r="K88" s="3" t="s">
        <v>19</v>
      </c>
      <c r="L88" s="8" t="s">
        <v>24</v>
      </c>
      <c r="M88" s="5" t="s">
        <v>25</v>
      </c>
      <c r="N88" s="2" t="s">
        <v>26</v>
      </c>
      <c r="O88" s="5">
        <v>2</v>
      </c>
      <c r="P88" s="2"/>
      <c r="Q88" s="5"/>
    </row>
    <row r="89" spans="1:17" ht="93">
      <c r="A89" s="5">
        <v>41</v>
      </c>
      <c r="B89" s="8" t="s">
        <v>16</v>
      </c>
      <c r="C89" s="5" t="str">
        <f>HYPERLINK("http://data.overheid.nl/data/dataset/gevoelige-bestemmingen-a-g-v-buisleidingen-voor-transp-van-gev-stoffen","Gevoelige bestemmingen a.g.v. buisleidingen voor transp. van gev. stoffen")</f>
        <v>Gevoelige bestemmingen a.g.v. buisleidingen voor transp. van gev. stoffen</v>
      </c>
      <c r="D89" s="8" t="s">
        <v>17</v>
      </c>
      <c r="E89" s="5" t="s">
        <v>18</v>
      </c>
      <c r="F89" s="2" t="s">
        <v>372</v>
      </c>
      <c r="G89" s="5" t="s">
        <v>68</v>
      </c>
      <c r="H89" s="8" t="s">
        <v>21</v>
      </c>
      <c r="I89" s="5" t="s">
        <v>22</v>
      </c>
      <c r="J89" s="4" t="s">
        <v>23</v>
      </c>
      <c r="K89" s="3" t="s">
        <v>19</v>
      </c>
      <c r="L89" s="8" t="s">
        <v>24</v>
      </c>
      <c r="M89" s="5" t="s">
        <v>25</v>
      </c>
      <c r="N89" s="2" t="s">
        <v>26</v>
      </c>
      <c r="O89" s="5">
        <v>2</v>
      </c>
      <c r="P89" s="2"/>
      <c r="Q89" s="5"/>
    </row>
    <row r="90" spans="1:17" ht="77.5">
      <c r="A90" s="5">
        <v>42</v>
      </c>
      <c r="B90" s="8" t="s">
        <v>16</v>
      </c>
      <c r="C90" s="5" t="str">
        <f>HYPERLINK("http://data.overheid.nl/data/dataset/gevoelige-bestemmingen-a-g-v-bedrijven-met-risicovolle-activiteiten","Gevoelige bestemmingen a.g.v. bedrijven met risicovolle activiteiten")</f>
        <v>Gevoelige bestemmingen a.g.v. bedrijven met risicovolle activiteiten</v>
      </c>
      <c r="D90" s="8" t="s">
        <v>17</v>
      </c>
      <c r="E90" s="5" t="s">
        <v>18</v>
      </c>
      <c r="F90" s="2" t="s">
        <v>372</v>
      </c>
      <c r="G90" s="5" t="s">
        <v>69</v>
      </c>
      <c r="H90" s="8" t="s">
        <v>21</v>
      </c>
      <c r="I90" s="5" t="s">
        <v>22</v>
      </c>
      <c r="J90" s="4" t="s">
        <v>23</v>
      </c>
      <c r="K90" s="3" t="s">
        <v>19</v>
      </c>
      <c r="L90" s="8" t="s">
        <v>24</v>
      </c>
      <c r="M90" s="5" t="s">
        <v>25</v>
      </c>
      <c r="N90" s="2" t="s">
        <v>26</v>
      </c>
      <c r="O90" s="5">
        <v>2</v>
      </c>
      <c r="P90" s="2"/>
      <c r="Q90" s="5"/>
    </row>
    <row r="91" spans="1:17" ht="77.5">
      <c r="A91" s="5">
        <v>43</v>
      </c>
      <c r="B91" s="8" t="s">
        <v>16</v>
      </c>
      <c r="C91" s="5" t="str">
        <f>HYPERLINK("http://data.overheid.nl/data/dataset/belaste-woningen-a-g-v-buisleidingen-voor-transport-van-gev-stoffen","Belaste woningen a.g.v. buisleidingen voor transport van gev. stoffen")</f>
        <v>Belaste woningen a.g.v. buisleidingen voor transport van gev. stoffen</v>
      </c>
      <c r="D91" s="8" t="s">
        <v>17</v>
      </c>
      <c r="E91" s="5" t="s">
        <v>18</v>
      </c>
      <c r="F91" s="2" t="s">
        <v>372</v>
      </c>
      <c r="G91" s="5" t="s">
        <v>70</v>
      </c>
      <c r="H91" s="8" t="s">
        <v>21</v>
      </c>
      <c r="I91" s="5" t="s">
        <v>22</v>
      </c>
      <c r="J91" s="4" t="s">
        <v>23</v>
      </c>
      <c r="K91" s="3" t="s">
        <v>19</v>
      </c>
      <c r="L91" s="8" t="s">
        <v>24</v>
      </c>
      <c r="M91" s="5" t="s">
        <v>25</v>
      </c>
      <c r="N91" s="2" t="s">
        <v>26</v>
      </c>
      <c r="O91" s="5">
        <v>2</v>
      </c>
      <c r="P91" s="2"/>
      <c r="Q91" s="5"/>
    </row>
    <row r="92" spans="1:17" ht="77.5">
      <c r="A92" s="5">
        <v>44</v>
      </c>
      <c r="B92" s="8" t="s">
        <v>16</v>
      </c>
      <c r="C92" s="5" t="str">
        <f>HYPERLINK("http://data.overheid.nl/data/dataset/belaste-woningen-straling-hoogspanningslijnen","Belaste woningen straling - hoogspanningslijnen")</f>
        <v>Belaste woningen straling - hoogspanningslijnen</v>
      </c>
      <c r="D92" s="8" t="s">
        <v>17</v>
      </c>
      <c r="E92" s="5" t="s">
        <v>18</v>
      </c>
      <c r="F92" s="2" t="s">
        <v>372</v>
      </c>
      <c r="G92" s="5" t="s">
        <v>71</v>
      </c>
      <c r="H92" s="8" t="s">
        <v>21</v>
      </c>
      <c r="I92" s="5" t="s">
        <v>22</v>
      </c>
      <c r="J92" s="4" t="s">
        <v>23</v>
      </c>
      <c r="K92" s="3" t="s">
        <v>19</v>
      </c>
      <c r="L92" s="8" t="s">
        <v>24</v>
      </c>
      <c r="M92" s="5" t="s">
        <v>25</v>
      </c>
      <c r="N92" s="2" t="s">
        <v>26</v>
      </c>
      <c r="O92" s="5">
        <v>2</v>
      </c>
      <c r="P92" s="2"/>
      <c r="Q92" s="5"/>
    </row>
    <row r="93" spans="1:17" ht="93">
      <c r="A93" s="5">
        <v>45</v>
      </c>
      <c r="B93" s="8" t="s">
        <v>16</v>
      </c>
      <c r="C93" s="5" t="str">
        <f>HYPERLINK("http://data.overheid.nl/data/dataset/clusters-geluid-als-gevolg-van-bedrijven","Clusters geluid  als gevolg van bedrijven")</f>
        <v>Clusters geluid  als gevolg van bedrijven</v>
      </c>
      <c r="D93" s="8" t="s">
        <v>17</v>
      </c>
      <c r="E93" s="5" t="s">
        <v>18</v>
      </c>
      <c r="F93" s="2" t="s">
        <v>372</v>
      </c>
      <c r="G93" s="5" t="s">
        <v>72</v>
      </c>
      <c r="H93" s="8" t="s">
        <v>21</v>
      </c>
      <c r="I93" s="5" t="s">
        <v>22</v>
      </c>
      <c r="J93" s="4" t="s">
        <v>23</v>
      </c>
      <c r="K93" s="3" t="s">
        <v>19</v>
      </c>
      <c r="L93" s="8" t="s">
        <v>24</v>
      </c>
      <c r="M93" s="5" t="s">
        <v>25</v>
      </c>
      <c r="N93" s="2" t="s">
        <v>26</v>
      </c>
      <c r="O93" s="5">
        <v>2</v>
      </c>
      <c r="P93" s="2"/>
      <c r="Q93" s="5"/>
    </row>
    <row r="94" spans="1:17" ht="77.5">
      <c r="A94" s="5">
        <v>46</v>
      </c>
      <c r="B94" s="8" t="s">
        <v>16</v>
      </c>
      <c r="C94" s="5" t="str">
        <f>HYPERLINK("http://data.overheid.nl/data/dataset/gevoelige-bestemmingen-straling-hoogspanningslijnen","Gevoelige bestemmingen straling - hoogspanningslijnen")</f>
        <v>Gevoelige bestemmingen straling - hoogspanningslijnen</v>
      </c>
      <c r="D94" s="8" t="s">
        <v>17</v>
      </c>
      <c r="E94" s="5" t="s">
        <v>18</v>
      </c>
      <c r="F94" s="2" t="s">
        <v>372</v>
      </c>
      <c r="G94" s="5" t="s">
        <v>73</v>
      </c>
      <c r="H94" s="8" t="s">
        <v>21</v>
      </c>
      <c r="I94" s="5" t="s">
        <v>22</v>
      </c>
      <c r="J94" s="4" t="s">
        <v>23</v>
      </c>
      <c r="K94" s="3" t="s">
        <v>19</v>
      </c>
      <c r="L94" s="8" t="s">
        <v>24</v>
      </c>
      <c r="M94" s="5" t="s">
        <v>25</v>
      </c>
      <c r="N94" s="2" t="s">
        <v>26</v>
      </c>
      <c r="O94" s="5">
        <v>2</v>
      </c>
      <c r="P94" s="2"/>
      <c r="Q94" s="5"/>
    </row>
    <row r="95" spans="1:17" ht="77.5">
      <c r="A95" s="5">
        <v>47</v>
      </c>
      <c r="B95" s="8" t="s">
        <v>16</v>
      </c>
      <c r="C95" s="5" t="str">
        <f>HYPERLINK("http://data.overheid.nl/data/dataset/ges-contouren-geluid-lden-provinciale-wegen","GES-contouren geluid (Lden) - provinciale wegen")</f>
        <v>GES-contouren geluid (Lden) - provinciale wegen</v>
      </c>
      <c r="D95" s="8" t="s">
        <v>17</v>
      </c>
      <c r="E95" s="5" t="s">
        <v>18</v>
      </c>
      <c r="F95" s="2" t="s">
        <v>372</v>
      </c>
      <c r="G95" s="5" t="s">
        <v>74</v>
      </c>
      <c r="H95" s="8" t="s">
        <v>21</v>
      </c>
      <c r="I95" s="5" t="s">
        <v>22</v>
      </c>
      <c r="J95" s="4" t="s">
        <v>23</v>
      </c>
      <c r="K95" s="3" t="s">
        <v>19</v>
      </c>
      <c r="L95" s="8" t="s">
        <v>24</v>
      </c>
      <c r="M95" s="5" t="s">
        <v>25</v>
      </c>
      <c r="N95" s="2" t="s">
        <v>26</v>
      </c>
      <c r="O95" s="5">
        <v>2</v>
      </c>
      <c r="P95" s="2"/>
      <c r="Q95" s="5"/>
    </row>
    <row r="96" spans="1:17" ht="77.5">
      <c r="A96" s="5">
        <v>48</v>
      </c>
      <c r="B96" s="8" t="s">
        <v>16</v>
      </c>
      <c r="C96" s="5" t="str">
        <f>HYPERLINK("http://data.overheid.nl/data/dataset/clusters-ext-veiligheid-a-g-v-buisleidingen-voor-transport-van-gev-stoffen","Clusters ext.veiligheid a.g.v buisleidingen voor transport van gev. stoffen")</f>
        <v>Clusters ext.veiligheid a.g.v buisleidingen voor transport van gev. stoffen</v>
      </c>
      <c r="D96" s="8" t="s">
        <v>17</v>
      </c>
      <c r="E96" s="5" t="s">
        <v>18</v>
      </c>
      <c r="F96" s="2" t="s">
        <v>372</v>
      </c>
      <c r="G96" s="5" t="s">
        <v>75</v>
      </c>
      <c r="H96" s="8" t="s">
        <v>21</v>
      </c>
      <c r="I96" s="5" t="s">
        <v>22</v>
      </c>
      <c r="J96" s="4" t="s">
        <v>23</v>
      </c>
      <c r="K96" s="3" t="s">
        <v>19</v>
      </c>
      <c r="L96" s="8" t="s">
        <v>24</v>
      </c>
      <c r="M96" s="5" t="s">
        <v>25</v>
      </c>
      <c r="N96" s="2" t="s">
        <v>26</v>
      </c>
      <c r="O96" s="5">
        <v>2</v>
      </c>
      <c r="P96" s="2"/>
      <c r="Q96" s="5"/>
    </row>
    <row r="97" spans="1:17" ht="108.5">
      <c r="A97" s="5">
        <v>49</v>
      </c>
      <c r="B97" s="8" t="s">
        <v>16</v>
      </c>
      <c r="C97" s="5" t="str">
        <f>HYPERLINK("http://data.overheid.nl/data/dataset/ges-contouren-geur-industriele-bedrijven","GES-contouren geur - industriele bedrijven")</f>
        <v>GES-contouren geur - industriele bedrijven</v>
      </c>
      <c r="D97" s="8" t="s">
        <v>17</v>
      </c>
      <c r="E97" s="5" t="s">
        <v>18</v>
      </c>
      <c r="F97" s="2" t="s">
        <v>372</v>
      </c>
      <c r="G97" s="5" t="s">
        <v>76</v>
      </c>
      <c r="H97" s="8" t="s">
        <v>21</v>
      </c>
      <c r="I97" s="5" t="s">
        <v>22</v>
      </c>
      <c r="J97" s="4" t="s">
        <v>23</v>
      </c>
      <c r="K97" s="3" t="s">
        <v>19</v>
      </c>
      <c r="L97" s="8" t="s">
        <v>24</v>
      </c>
      <c r="M97" s="5" t="s">
        <v>25</v>
      </c>
      <c r="N97" s="2" t="s">
        <v>26</v>
      </c>
      <c r="O97" s="5">
        <v>2</v>
      </c>
      <c r="P97" s="2"/>
      <c r="Q97" s="5"/>
    </row>
    <row r="98" spans="1:17" ht="62">
      <c r="A98" s="5">
        <v>50</v>
      </c>
      <c r="B98" s="8" t="s">
        <v>16</v>
      </c>
      <c r="C98" s="5" t="str">
        <f>HYPERLINK("http://data.overheid.nl/data/dataset/clusters-straling-hoogspanningslijnen","Clusters straling - hoogspanningslijnen")</f>
        <v>Clusters straling - hoogspanningslijnen</v>
      </c>
      <c r="D98" s="8" t="s">
        <v>17</v>
      </c>
      <c r="E98" s="5" t="s">
        <v>18</v>
      </c>
      <c r="F98" s="2" t="s">
        <v>372</v>
      </c>
      <c r="G98" s="5" t="s">
        <v>77</v>
      </c>
      <c r="H98" s="8" t="s">
        <v>21</v>
      </c>
      <c r="I98" s="5" t="s">
        <v>22</v>
      </c>
      <c r="J98" s="4" t="s">
        <v>23</v>
      </c>
      <c r="K98" s="3" t="s">
        <v>19</v>
      </c>
      <c r="L98" s="8" t="s">
        <v>24</v>
      </c>
      <c r="M98" s="5" t="s">
        <v>25</v>
      </c>
      <c r="N98" s="2" t="s">
        <v>26</v>
      </c>
      <c r="O98" s="5">
        <v>2</v>
      </c>
      <c r="P98" s="2"/>
      <c r="Q98" s="5"/>
    </row>
    <row r="99" spans="1:17" ht="77.5">
      <c r="A99" s="5">
        <v>51</v>
      </c>
      <c r="B99" s="8" t="s">
        <v>16</v>
      </c>
      <c r="C99" s="5" t="str">
        <f>HYPERLINK("http://data.overheid.nl/data/dataset/belaste-woningen-a-g-v-gevaarlijk-transport-via-vaarwegen","Belaste woningen a.g.v. gevaarlijk transport via vaarwegen")</f>
        <v>Belaste woningen a.g.v. gevaarlijk transport via vaarwegen</v>
      </c>
      <c r="D99" s="8" t="s">
        <v>17</v>
      </c>
      <c r="E99" s="5" t="s">
        <v>18</v>
      </c>
      <c r="F99" s="2" t="s">
        <v>372</v>
      </c>
      <c r="G99" s="5" t="s">
        <v>78</v>
      </c>
      <c r="H99" s="8" t="s">
        <v>21</v>
      </c>
      <c r="I99" s="5" t="s">
        <v>22</v>
      </c>
      <c r="J99" s="4" t="s">
        <v>23</v>
      </c>
      <c r="K99" s="3" t="s">
        <v>19</v>
      </c>
      <c r="L99" s="8" t="s">
        <v>24</v>
      </c>
      <c r="M99" s="5" t="s">
        <v>25</v>
      </c>
      <c r="N99" s="2" t="s">
        <v>26</v>
      </c>
      <c r="O99" s="5">
        <v>2</v>
      </c>
      <c r="P99" s="2"/>
      <c r="Q99" s="5"/>
    </row>
    <row r="100" spans="1:17" ht="93">
      <c r="A100" s="5">
        <v>52</v>
      </c>
      <c r="B100" s="8" t="s">
        <v>16</v>
      </c>
      <c r="C100" s="5" t="str">
        <f>HYPERLINK("http://data.overheid.nl/data/dataset/ges-cont-externe-veiligheid-a-g-v-bedr-met-risicovolle-activiteiten","GES-cont. externe veiligheid a.g.v. bedr. met risicovolle activiteiten")</f>
        <v>GES-cont. externe veiligheid a.g.v. bedr. met risicovolle activiteiten</v>
      </c>
      <c r="D100" s="8" t="s">
        <v>17</v>
      </c>
      <c r="E100" s="5" t="s">
        <v>18</v>
      </c>
      <c r="F100" s="2" t="s">
        <v>372</v>
      </c>
      <c r="G100" s="5" t="s">
        <v>79</v>
      </c>
      <c r="H100" s="8" t="s">
        <v>21</v>
      </c>
      <c r="I100" s="5" t="s">
        <v>22</v>
      </c>
      <c r="J100" s="4" t="s">
        <v>23</v>
      </c>
      <c r="K100" s="3" t="s">
        <v>19</v>
      </c>
      <c r="L100" s="8" t="s">
        <v>24</v>
      </c>
      <c r="M100" s="5" t="s">
        <v>25</v>
      </c>
      <c r="N100" s="2" t="s">
        <v>26</v>
      </c>
      <c r="O100" s="5">
        <v>2</v>
      </c>
      <c r="P100" s="2"/>
      <c r="Q100" s="5"/>
    </row>
    <row r="101" spans="1:17" ht="93">
      <c r="A101" s="5">
        <v>53</v>
      </c>
      <c r="B101" s="8" t="s">
        <v>16</v>
      </c>
      <c r="C101" s="5" t="str">
        <f>HYPERLINK("http://data.overheid.nl/data/dataset/ges-cont-externe-veiligheid-buisleidingen-voor-transp-van-gev-stoffen","GES-cont. externe veiligheid buisleidingen voor transp. van gev. stoffen")</f>
        <v>GES-cont. externe veiligheid buisleidingen voor transp. van gev. stoffen</v>
      </c>
      <c r="D101" s="8" t="s">
        <v>17</v>
      </c>
      <c r="E101" s="5" t="s">
        <v>18</v>
      </c>
      <c r="F101" s="2" t="s">
        <v>372</v>
      </c>
      <c r="G101" s="5" t="s">
        <v>80</v>
      </c>
      <c r="H101" s="8" t="s">
        <v>21</v>
      </c>
      <c r="I101" s="5" t="s">
        <v>22</v>
      </c>
      <c r="J101" s="4" t="s">
        <v>23</v>
      </c>
      <c r="K101" s="3" t="s">
        <v>19</v>
      </c>
      <c r="L101" s="8" t="s">
        <v>24</v>
      </c>
      <c r="M101" s="5" t="s">
        <v>25</v>
      </c>
      <c r="N101" s="2" t="s">
        <v>26</v>
      </c>
      <c r="O101" s="5">
        <v>2</v>
      </c>
      <c r="P101" s="2"/>
      <c r="Q101" s="5"/>
    </row>
    <row r="102" spans="1:17" ht="93">
      <c r="A102" s="5">
        <v>54</v>
      </c>
      <c r="B102" s="8" t="s">
        <v>16</v>
      </c>
      <c r="C102" s="5" t="str">
        <f>HYPERLINK("http://data.overheid.nl/data/dataset/ges-cont-externe-veiligheid-a-g-v-gev-transp-via-vaarwegen","GES-cont. externe veiligheid a.g.v.  gev. transp. via vaarwegen")</f>
        <v>GES-cont. externe veiligheid a.g.v.  gev. transp. via vaarwegen</v>
      </c>
      <c r="D102" s="8" t="s">
        <v>17</v>
      </c>
      <c r="E102" s="5" t="s">
        <v>18</v>
      </c>
      <c r="F102" s="2" t="s">
        <v>372</v>
      </c>
      <c r="G102" s="5" t="s">
        <v>81</v>
      </c>
      <c r="H102" s="8" t="s">
        <v>21</v>
      </c>
      <c r="I102" s="5" t="s">
        <v>22</v>
      </c>
      <c r="J102" s="4" t="s">
        <v>23</v>
      </c>
      <c r="K102" s="3" t="s">
        <v>19</v>
      </c>
      <c r="L102" s="8" t="s">
        <v>24</v>
      </c>
      <c r="M102" s="5" t="s">
        <v>25</v>
      </c>
      <c r="N102" s="2" t="s">
        <v>26</v>
      </c>
      <c r="O102" s="5">
        <v>2</v>
      </c>
      <c r="P102" s="2"/>
      <c r="Q102" s="5"/>
    </row>
    <row r="103" spans="1:17" ht="77.5">
      <c r="A103" s="5">
        <v>55</v>
      </c>
      <c r="B103" s="8" t="s">
        <v>16</v>
      </c>
      <c r="C103" s="5" t="str">
        <f>HYPERLINK("http://data.overheid.nl/data/dataset/clusters-externe-veiligheid-a-g-v-gevaarlijk-transport-via-vaarwegen","Clusters externe veiligheid a.g.v. gevaarlijk transport via vaarwegen")</f>
        <v>Clusters externe veiligheid a.g.v. gevaarlijk transport via vaarwegen</v>
      </c>
      <c r="D103" s="8" t="s">
        <v>17</v>
      </c>
      <c r="E103" s="5" t="s">
        <v>18</v>
      </c>
      <c r="F103" s="2" t="s">
        <v>372</v>
      </c>
      <c r="G103" s="5" t="s">
        <v>82</v>
      </c>
      <c r="H103" s="8" t="s">
        <v>21</v>
      </c>
      <c r="I103" s="5" t="s">
        <v>22</v>
      </c>
      <c r="J103" s="4" t="s">
        <v>23</v>
      </c>
      <c r="K103" s="3" t="s">
        <v>19</v>
      </c>
      <c r="L103" s="8" t="s">
        <v>24</v>
      </c>
      <c r="M103" s="5" t="s">
        <v>25</v>
      </c>
      <c r="N103" s="2" t="s">
        <v>26</v>
      </c>
      <c r="O103" s="5">
        <v>2</v>
      </c>
      <c r="P103" s="2"/>
      <c r="Q103" s="5"/>
    </row>
    <row r="104" spans="1:17" ht="77.5">
      <c r="A104" s="5">
        <v>56</v>
      </c>
      <c r="B104" s="8" t="s">
        <v>16</v>
      </c>
      <c r="C104" s="5" t="str">
        <f>HYPERLINK("http://data.overheid.nl/data/dataset/clusters-externe-veiligheid-a-g-v-bedrijven-met-risicovolle-activiteiten","Clusters externe veiligheid a.g.v. bedrijven met risicovolle activiteiten")</f>
        <v>Clusters externe veiligheid a.g.v. bedrijven met risicovolle activiteiten</v>
      </c>
      <c r="D104" s="8" t="s">
        <v>17</v>
      </c>
      <c r="E104" s="5" t="s">
        <v>18</v>
      </c>
      <c r="F104" s="2" t="s">
        <v>372</v>
      </c>
      <c r="G104" s="5" t="s">
        <v>83</v>
      </c>
      <c r="H104" s="8" t="s">
        <v>21</v>
      </c>
      <c r="I104" s="5" t="s">
        <v>22</v>
      </c>
      <c r="J104" s="4" t="s">
        <v>23</v>
      </c>
      <c r="K104" s="3" t="s">
        <v>19</v>
      </c>
      <c r="L104" s="8" t="s">
        <v>24</v>
      </c>
      <c r="M104" s="5" t="s">
        <v>25</v>
      </c>
      <c r="N104" s="2" t="s">
        <v>26</v>
      </c>
      <c r="O104" s="5">
        <v>2</v>
      </c>
      <c r="P104" s="2"/>
      <c r="Q104" s="5"/>
    </row>
    <row r="105" spans="1:17" ht="139.5">
      <c r="A105" s="5">
        <v>57</v>
      </c>
      <c r="B105" s="8" t="s">
        <v>16</v>
      </c>
      <c r="C105" s="5" t="str">
        <f>HYPERLINK("http://data.overheid.nl/data/dataset/belaste-woningen-als-gevolg-van-bedrijven","Belaste woningen als gevolg van bedrijven")</f>
        <v>Belaste woningen als gevolg van bedrijven</v>
      </c>
      <c r="D105" s="8" t="s">
        <v>17</v>
      </c>
      <c r="E105" s="5" t="s">
        <v>18</v>
      </c>
      <c r="F105" s="2" t="s">
        <v>372</v>
      </c>
      <c r="G105" s="5" t="s">
        <v>84</v>
      </c>
      <c r="H105" s="8" t="s">
        <v>21</v>
      </c>
      <c r="I105" s="5" t="s">
        <v>22</v>
      </c>
      <c r="J105" s="4" t="s">
        <v>23</v>
      </c>
      <c r="K105" s="3" t="s">
        <v>19</v>
      </c>
      <c r="L105" s="8" t="s">
        <v>24</v>
      </c>
      <c r="M105" s="5" t="s">
        <v>25</v>
      </c>
      <c r="N105" s="2" t="s">
        <v>26</v>
      </c>
      <c r="O105" s="5">
        <v>2</v>
      </c>
      <c r="P105" s="2"/>
      <c r="Q105" s="5"/>
    </row>
    <row r="106" spans="1:17" ht="124">
      <c r="A106" s="5">
        <v>58</v>
      </c>
      <c r="B106" s="8" t="s">
        <v>16</v>
      </c>
      <c r="C106" s="5" t="str">
        <f>HYPERLINK("http://data.overheid.nl/data/dataset/gevoelige-bestemmingen-als-gevolg-van-geluid-bedrijven","Gevoelige bestemmingen als gevolg van geluid bedrijven")</f>
        <v>Gevoelige bestemmingen als gevolg van geluid bedrijven</v>
      </c>
      <c r="D106" s="8" t="s">
        <v>17</v>
      </c>
      <c r="E106" s="5" t="s">
        <v>18</v>
      </c>
      <c r="F106" s="2" t="s">
        <v>372</v>
      </c>
      <c r="G106" s="5" t="s">
        <v>85</v>
      </c>
      <c r="H106" s="8" t="s">
        <v>21</v>
      </c>
      <c r="I106" s="5" t="s">
        <v>22</v>
      </c>
      <c r="J106" s="4" t="s">
        <v>23</v>
      </c>
      <c r="K106" s="3" t="s">
        <v>19</v>
      </c>
      <c r="L106" s="8" t="s">
        <v>24</v>
      </c>
      <c r="M106" s="5" t="s">
        <v>25</v>
      </c>
      <c r="N106" s="2" t="s">
        <v>26</v>
      </c>
      <c r="O106" s="5">
        <v>2</v>
      </c>
      <c r="P106" s="2"/>
      <c r="Q106" s="5"/>
    </row>
    <row r="107" spans="1:17" ht="93">
      <c r="A107" s="5">
        <v>59</v>
      </c>
      <c r="B107" s="8" t="s">
        <v>16</v>
      </c>
      <c r="C107" s="5" t="str">
        <f>HYPERLINK("http://data.overheid.nl/data/dataset/ges-contouren-straling-hoogspanningslijnen","GES-contouren straling - hoogspanningslijnen")</f>
        <v>GES-contouren straling - hoogspanningslijnen</v>
      </c>
      <c r="D107" s="8" t="s">
        <v>17</v>
      </c>
      <c r="E107" s="5" t="s">
        <v>18</v>
      </c>
      <c r="F107" s="2" t="s">
        <v>372</v>
      </c>
      <c r="G107" s="5" t="s">
        <v>86</v>
      </c>
      <c r="H107" s="8" t="s">
        <v>21</v>
      </c>
      <c r="I107" s="5" t="s">
        <v>22</v>
      </c>
      <c r="J107" s="4" t="s">
        <v>23</v>
      </c>
      <c r="K107" s="3" t="s">
        <v>19</v>
      </c>
      <c r="L107" s="8" t="s">
        <v>24</v>
      </c>
      <c r="M107" s="5" t="s">
        <v>25</v>
      </c>
      <c r="N107" s="2" t="s">
        <v>26</v>
      </c>
      <c r="O107" s="5">
        <v>2</v>
      </c>
      <c r="P107" s="2"/>
      <c r="Q107" s="5"/>
    </row>
    <row r="108" spans="1:17" ht="93">
      <c r="A108" s="5">
        <v>60</v>
      </c>
      <c r="B108" s="8" t="s">
        <v>16</v>
      </c>
      <c r="C108" s="5" t="str">
        <f>HYPERLINK("http://data.overheid.nl/data/dataset/beschermingsniveau-van-regionale-waterkeringen-van-de-agv","Beschermingsniveau van regionale waterkeringen van de AGV")</f>
        <v>Beschermingsniveau van regionale waterkeringen van de AGV</v>
      </c>
      <c r="D108" s="8" t="s">
        <v>17</v>
      </c>
      <c r="E108" s="5" t="s">
        <v>18</v>
      </c>
      <c r="F108" s="2" t="s">
        <v>372</v>
      </c>
      <c r="G108" s="5" t="s">
        <v>87</v>
      </c>
      <c r="H108" s="8" t="s">
        <v>21</v>
      </c>
      <c r="I108" s="5" t="s">
        <v>22</v>
      </c>
      <c r="J108" s="4" t="s">
        <v>23</v>
      </c>
      <c r="K108" s="3" t="s">
        <v>19</v>
      </c>
      <c r="L108" s="8" t="s">
        <v>24</v>
      </c>
      <c r="M108" s="5" t="s">
        <v>25</v>
      </c>
      <c r="N108" s="2" t="s">
        <v>26</v>
      </c>
      <c r="O108" s="5">
        <v>1</v>
      </c>
      <c r="P108" s="2"/>
      <c r="Q108" s="5"/>
    </row>
    <row r="109" spans="1:17" ht="93">
      <c r="A109" s="5">
        <v>61</v>
      </c>
      <c r="B109" s="8" t="s">
        <v>16</v>
      </c>
      <c r="C109" s="5" t="str">
        <f>HYPERLINK("http://data.overheid.nl/data/dataset/beschermingsniveau-van-regionale-waterkeringen-van-de-wsrl","Beschermingsniveau van regionale waterkeringen van de WSRL")</f>
        <v>Beschermingsniveau van regionale waterkeringen van de WSRL</v>
      </c>
      <c r="D109" s="8" t="s">
        <v>17</v>
      </c>
      <c r="E109" s="5" t="s">
        <v>18</v>
      </c>
      <c r="F109" s="2" t="s">
        <v>372</v>
      </c>
      <c r="G109" s="5" t="s">
        <v>88</v>
      </c>
      <c r="H109" s="8" t="s">
        <v>21</v>
      </c>
      <c r="I109" s="5" t="s">
        <v>22</v>
      </c>
      <c r="J109" s="4" t="s">
        <v>23</v>
      </c>
      <c r="K109" s="3" t="s">
        <v>19</v>
      </c>
      <c r="L109" s="8" t="s">
        <v>24</v>
      </c>
      <c r="M109" s="5" t="s">
        <v>25</v>
      </c>
      <c r="N109" s="2" t="s">
        <v>26</v>
      </c>
      <c r="O109" s="5">
        <v>1</v>
      </c>
      <c r="P109" s="2"/>
      <c r="Q109" s="5"/>
    </row>
    <row r="110" spans="1:17" ht="77.5">
      <c r="A110" s="5">
        <v>62</v>
      </c>
      <c r="B110" s="8" t="s">
        <v>16</v>
      </c>
      <c r="C110" s="5" t="str">
        <f>HYPERLINK("http://data.overheid.nl/data/dataset/beschermingsniveau-van-regionale-waterkeringen-van-de-wve","Beschermingsniveau van regionale waterkeringen van de WVE")</f>
        <v>Beschermingsniveau van regionale waterkeringen van de WVE</v>
      </c>
      <c r="D110" s="8" t="s">
        <v>17</v>
      </c>
      <c r="E110" s="5" t="s">
        <v>18</v>
      </c>
      <c r="F110" s="2" t="s">
        <v>372</v>
      </c>
      <c r="G110" s="5" t="s">
        <v>89</v>
      </c>
      <c r="H110" s="8" t="s">
        <v>21</v>
      </c>
      <c r="I110" s="5" t="s">
        <v>22</v>
      </c>
      <c r="J110" s="4" t="s">
        <v>23</v>
      </c>
      <c r="K110" s="3" t="s">
        <v>19</v>
      </c>
      <c r="L110" s="8" t="s">
        <v>24</v>
      </c>
      <c r="M110" s="5" t="s">
        <v>25</v>
      </c>
      <c r="N110" s="2" t="s">
        <v>26</v>
      </c>
      <c r="O110" s="5">
        <v>1</v>
      </c>
      <c r="P110" s="2"/>
      <c r="Q110" s="5"/>
    </row>
    <row r="111" spans="1:17" ht="62">
      <c r="A111" s="5">
        <v>63</v>
      </c>
      <c r="B111" s="8" t="s">
        <v>16</v>
      </c>
      <c r="C111" s="5" t="str">
        <f>HYPERLINK("http://data.overheid.nl/data/dataset/clusters-geluid-railverkeer-01","Clusters geluid - railverkeer")</f>
        <v>Clusters geluid - railverkeer</v>
      </c>
      <c r="D111" s="8" t="s">
        <v>17</v>
      </c>
      <c r="E111" s="5" t="s">
        <v>18</v>
      </c>
      <c r="F111" s="2" t="s">
        <v>372</v>
      </c>
      <c r="G111" s="5" t="s">
        <v>90</v>
      </c>
      <c r="H111" s="8" t="s">
        <v>21</v>
      </c>
      <c r="I111" s="5" t="s">
        <v>22</v>
      </c>
      <c r="J111" s="4" t="s">
        <v>23</v>
      </c>
      <c r="K111" s="3" t="s">
        <v>19</v>
      </c>
      <c r="L111" s="8" t="s">
        <v>24</v>
      </c>
      <c r="M111" s="5" t="s">
        <v>25</v>
      </c>
      <c r="N111" s="2" t="s">
        <v>26</v>
      </c>
      <c r="O111" s="5">
        <v>2</v>
      </c>
      <c r="P111" s="2"/>
      <c r="Q111" s="5"/>
    </row>
    <row r="112" spans="1:17" ht="15.5">
      <c r="A112" s="5">
        <v>64</v>
      </c>
      <c r="B112" s="8" t="s">
        <v>16</v>
      </c>
      <c r="C112" s="5" t="str">
        <f>HYPERLINK("http://data.overheid.nl/data/dataset/clusters-geluid-wegverkeer","Clusters geluid - wegverkeer")</f>
        <v>Clusters geluid - wegverkeer</v>
      </c>
      <c r="D112" s="8" t="s">
        <v>17</v>
      </c>
      <c r="E112" s="5" t="s">
        <v>18</v>
      </c>
      <c r="F112" s="2" t="s">
        <v>372</v>
      </c>
      <c r="G112" s="5" t="s">
        <v>91</v>
      </c>
      <c r="H112" s="8" t="s">
        <v>21</v>
      </c>
      <c r="I112" s="5" t="s">
        <v>22</v>
      </c>
      <c r="J112" s="4" t="s">
        <v>23</v>
      </c>
      <c r="K112" s="3" t="s">
        <v>19</v>
      </c>
      <c r="L112" s="8" t="s">
        <v>24</v>
      </c>
      <c r="M112" s="5" t="s">
        <v>25</v>
      </c>
      <c r="N112" s="2" t="s">
        <v>26</v>
      </c>
      <c r="O112" s="5">
        <v>2</v>
      </c>
      <c r="P112" s="2"/>
      <c r="Q112" s="5"/>
    </row>
    <row r="113" spans="1:17" ht="62">
      <c r="A113" s="5">
        <v>65</v>
      </c>
      <c r="B113" s="8" t="s">
        <v>16</v>
      </c>
      <c r="C113" s="5" t="str">
        <f>HYPERLINK("http://data.overheid.nl/data/dataset/belaste-woningen-geluid-wegverkeer-lden","Belaste woningen geluid wegverkeer (Lden)")</f>
        <v>Belaste woningen geluid wegverkeer (Lden)</v>
      </c>
      <c r="D113" s="8" t="s">
        <v>17</v>
      </c>
      <c r="E113" s="5" t="s">
        <v>18</v>
      </c>
      <c r="F113" s="2" t="s">
        <v>372</v>
      </c>
      <c r="G113" s="5" t="s">
        <v>92</v>
      </c>
      <c r="H113" s="8" t="s">
        <v>21</v>
      </c>
      <c r="I113" s="5" t="s">
        <v>22</v>
      </c>
      <c r="J113" s="4" t="s">
        <v>23</v>
      </c>
      <c r="K113" s="3" t="s">
        <v>19</v>
      </c>
      <c r="L113" s="8" t="s">
        <v>24</v>
      </c>
      <c r="M113" s="5" t="s">
        <v>25</v>
      </c>
      <c r="N113" s="2" t="s">
        <v>26</v>
      </c>
      <c r="O113" s="5">
        <v>2</v>
      </c>
      <c r="P113" s="2"/>
      <c r="Q113" s="5"/>
    </row>
    <row r="114" spans="1:17" ht="46.5">
      <c r="A114" s="5">
        <v>66</v>
      </c>
      <c r="B114" s="8" t="s">
        <v>16</v>
      </c>
      <c r="C114" s="5" t="str">
        <f>HYPERLINK("http://data.overheid.nl/data/dataset/belaste-woningen-geluid-lden-railverkeer","Belaste woningen geluid (Lden) - railverkeer")</f>
        <v>Belaste woningen geluid (Lden) - railverkeer</v>
      </c>
      <c r="D114" s="8" t="s">
        <v>17</v>
      </c>
      <c r="E114" s="5" t="s">
        <v>18</v>
      </c>
      <c r="F114" s="2" t="s">
        <v>372</v>
      </c>
      <c r="G114" s="5" t="s">
        <v>93</v>
      </c>
      <c r="H114" s="8" t="s">
        <v>21</v>
      </c>
      <c r="I114" s="5" t="s">
        <v>22</v>
      </c>
      <c r="J114" s="4" t="s">
        <v>23</v>
      </c>
      <c r="K114" s="3" t="s">
        <v>19</v>
      </c>
      <c r="L114" s="8" t="s">
        <v>24</v>
      </c>
      <c r="M114" s="5" t="s">
        <v>25</v>
      </c>
      <c r="N114" s="2" t="s">
        <v>26</v>
      </c>
      <c r="O114" s="5">
        <v>2</v>
      </c>
      <c r="P114" s="2"/>
      <c r="Q114" s="5"/>
    </row>
    <row r="115" spans="1:17" ht="46.5">
      <c r="A115" s="5">
        <v>67</v>
      </c>
      <c r="B115" s="8" t="s">
        <v>16</v>
      </c>
      <c r="C115" s="5" t="str">
        <f>HYPERLINK("http://data.overheid.nl/data/dataset/gevoelige-bestemmingen-geluid-lden-railverkeer","Gevoelige bestemmingen geluid (Lden) - railverkeer")</f>
        <v>Gevoelige bestemmingen geluid (Lden) - railverkeer</v>
      </c>
      <c r="D115" s="8" t="s">
        <v>17</v>
      </c>
      <c r="E115" s="5" t="s">
        <v>18</v>
      </c>
      <c r="F115" s="2" t="s">
        <v>372</v>
      </c>
      <c r="G115" s="5" t="s">
        <v>94</v>
      </c>
      <c r="H115" s="8" t="s">
        <v>21</v>
      </c>
      <c r="I115" s="5" t="s">
        <v>22</v>
      </c>
      <c r="J115" s="4" t="s">
        <v>23</v>
      </c>
      <c r="K115" s="3" t="s">
        <v>19</v>
      </c>
      <c r="L115" s="8" t="s">
        <v>24</v>
      </c>
      <c r="M115" s="5" t="s">
        <v>25</v>
      </c>
      <c r="N115" s="2" t="s">
        <v>26</v>
      </c>
      <c r="O115" s="5">
        <v>2</v>
      </c>
      <c r="P115" s="2"/>
      <c r="Q115" s="5"/>
    </row>
    <row r="116" spans="1:17" ht="77.5">
      <c r="A116" s="5">
        <v>68</v>
      </c>
      <c r="B116" s="8" t="s">
        <v>16</v>
      </c>
      <c r="C116" s="5" t="str">
        <f>HYPERLINK("http://data.overheid.nl/data/dataset/ges-contouren-geluid-lden-rijkswegen","GES-contouren geluid (Lden) - rijkswegen")</f>
        <v>GES-contouren geluid (Lden) - rijkswegen</v>
      </c>
      <c r="D116" s="8" t="s">
        <v>17</v>
      </c>
      <c r="E116" s="5" t="s">
        <v>18</v>
      </c>
      <c r="F116" s="2" t="s">
        <v>372</v>
      </c>
      <c r="G116" s="5" t="s">
        <v>95</v>
      </c>
      <c r="H116" s="8" t="s">
        <v>21</v>
      </c>
      <c r="I116" s="5" t="s">
        <v>22</v>
      </c>
      <c r="J116" s="4" t="s">
        <v>23</v>
      </c>
      <c r="K116" s="3" t="s">
        <v>19</v>
      </c>
      <c r="L116" s="8" t="s">
        <v>24</v>
      </c>
      <c r="M116" s="5" t="s">
        <v>25</v>
      </c>
      <c r="N116" s="2" t="s">
        <v>26</v>
      </c>
      <c r="O116" s="5">
        <v>2</v>
      </c>
      <c r="P116" s="2"/>
      <c r="Q116" s="5"/>
    </row>
    <row r="117" spans="1:17" ht="77.5">
      <c r="A117" s="5">
        <v>69</v>
      </c>
      <c r="B117" s="8" t="s">
        <v>16</v>
      </c>
      <c r="C117" s="5" t="str">
        <f>HYPERLINK("http://data.overheid.nl/data/dataset/leefstijlen-dagrecratie-per-wijk","Leefstijlen dagrecratie (per wijk)")</f>
        <v>Leefstijlen dagrecratie (per wijk)</v>
      </c>
      <c r="D117" s="8" t="s">
        <v>17</v>
      </c>
      <c r="E117" s="5" t="s">
        <v>18</v>
      </c>
      <c r="F117" s="2" t="s">
        <v>372</v>
      </c>
      <c r="G117" s="5" t="s">
        <v>96</v>
      </c>
      <c r="H117" s="8" t="s">
        <v>21</v>
      </c>
      <c r="I117" s="5" t="s">
        <v>22</v>
      </c>
      <c r="J117" s="4" t="s">
        <v>23</v>
      </c>
      <c r="K117" s="3" t="s">
        <v>19</v>
      </c>
      <c r="L117" s="8" t="s">
        <v>24</v>
      </c>
      <c r="M117" s="5" t="s">
        <v>25</v>
      </c>
      <c r="N117" s="2" t="s">
        <v>26</v>
      </c>
      <c r="O117" s="5">
        <v>10</v>
      </c>
      <c r="P117" s="2"/>
      <c r="Q117" s="5"/>
    </row>
    <row r="118" spans="1:17" ht="15.5">
      <c r="A118" s="5">
        <v>70</v>
      </c>
      <c r="B118" s="8" t="s">
        <v>16</v>
      </c>
      <c r="C118" s="5" t="str">
        <f>HYPERLINK("http://data.overheid.nl/data/dataset/kanoroutes","Kanoroutes")</f>
        <v>Kanoroutes</v>
      </c>
      <c r="D118" s="8" t="s">
        <v>17</v>
      </c>
      <c r="E118" s="5" t="s">
        <v>18</v>
      </c>
      <c r="F118" s="2" t="s">
        <v>372</v>
      </c>
      <c r="G118" s="5" t="s">
        <v>97</v>
      </c>
      <c r="H118" s="8" t="s">
        <v>21</v>
      </c>
      <c r="I118" s="5" t="s">
        <v>22</v>
      </c>
      <c r="J118" s="4" t="s">
        <v>23</v>
      </c>
      <c r="K118" s="3" t="s">
        <v>19</v>
      </c>
      <c r="L118" s="8" t="s">
        <v>24</v>
      </c>
      <c r="M118" s="5" t="s">
        <v>25</v>
      </c>
      <c r="N118" s="2" t="s">
        <v>26</v>
      </c>
      <c r="O118" s="5">
        <v>1</v>
      </c>
      <c r="P118" s="2"/>
      <c r="Q118" s="5"/>
    </row>
    <row r="119" spans="1:17" ht="77.5">
      <c r="A119" s="5">
        <v>71</v>
      </c>
      <c r="B119" s="8" t="s">
        <v>16</v>
      </c>
      <c r="C119" s="5" t="str">
        <f>HYPERLINK("http://data.overheid.nl/data/dataset/gevoelige-bestemmingen-pm10-wegen","Gevoelige bestemmingen PM10 - wegen")</f>
        <v>Gevoelige bestemmingen PM10 - wegen</v>
      </c>
      <c r="D119" s="8" t="s">
        <v>17</v>
      </c>
      <c r="E119" s="5" t="s">
        <v>18</v>
      </c>
      <c r="F119" s="2" t="s">
        <v>372</v>
      </c>
      <c r="G119" s="5" t="s">
        <v>98</v>
      </c>
      <c r="H119" s="8" t="s">
        <v>21</v>
      </c>
      <c r="I119" s="5" t="s">
        <v>22</v>
      </c>
      <c r="J119" s="4" t="s">
        <v>23</v>
      </c>
      <c r="K119" s="3" t="s">
        <v>19</v>
      </c>
      <c r="L119" s="8" t="s">
        <v>24</v>
      </c>
      <c r="M119" s="5" t="s">
        <v>25</v>
      </c>
      <c r="N119" s="2" t="s">
        <v>26</v>
      </c>
      <c r="O119" s="5">
        <v>2</v>
      </c>
      <c r="P119" s="2"/>
      <c r="Q119" s="5"/>
    </row>
    <row r="120" spans="1:17" ht="108.5">
      <c r="A120" s="5">
        <v>72</v>
      </c>
      <c r="B120" s="8" t="s">
        <v>16</v>
      </c>
      <c r="C120" s="5" t="str">
        <f>HYPERLINK("http://data.overheid.nl/data/dataset/gebieden-waar-grof-zand-winbaar-is-in-de-provincie-utrecht","Gebieden waar grof zand winbaar is in de provincie Utrecht")</f>
        <v>Gebieden waar grof zand winbaar is in de provincie Utrecht</v>
      </c>
      <c r="D120" s="8" t="s">
        <v>17</v>
      </c>
      <c r="E120" s="5" t="s">
        <v>18</v>
      </c>
      <c r="F120" s="2" t="s">
        <v>372</v>
      </c>
      <c r="G120" s="5" t="s">
        <v>99</v>
      </c>
      <c r="H120" s="8" t="s">
        <v>21</v>
      </c>
      <c r="I120" s="5" t="s">
        <v>22</v>
      </c>
      <c r="J120" s="4" t="s">
        <v>23</v>
      </c>
      <c r="K120" s="3" t="s">
        <v>19</v>
      </c>
      <c r="L120" s="8" t="s">
        <v>24</v>
      </c>
      <c r="M120" s="5" t="s">
        <v>25</v>
      </c>
      <c r="N120" s="2" t="s">
        <v>26</v>
      </c>
      <c r="O120" s="5">
        <v>2</v>
      </c>
      <c r="P120" s="2"/>
      <c r="Q120" s="5"/>
    </row>
    <row r="121" spans="1:17" ht="31">
      <c r="A121" s="5">
        <v>74</v>
      </c>
      <c r="B121" s="8" t="s">
        <v>16</v>
      </c>
      <c r="C121" s="5" t="str">
        <f>HYPERLINK("http://data.overheid.nl/data/dataset/carpoolplaatsen-bezettingsgraad-en-voorzieningen-2015","Carpoolplaatsen - Bezettingsgraad en voorzieningen 2016")</f>
        <v>Carpoolplaatsen - Bezettingsgraad en voorzieningen 2016</v>
      </c>
      <c r="D121" s="8" t="s">
        <v>17</v>
      </c>
      <c r="E121" s="5" t="s">
        <v>18</v>
      </c>
      <c r="F121" s="2" t="s">
        <v>372</v>
      </c>
      <c r="G121" s="5" t="s">
        <v>101</v>
      </c>
      <c r="H121" s="8" t="s">
        <v>21</v>
      </c>
      <c r="I121" s="5" t="s">
        <v>22</v>
      </c>
      <c r="J121" s="4" t="s">
        <v>23</v>
      </c>
      <c r="K121" s="3" t="s">
        <v>19</v>
      </c>
      <c r="L121" s="8" t="s">
        <v>24</v>
      </c>
      <c r="M121" s="5" t="s">
        <v>25</v>
      </c>
      <c r="N121" s="2" t="s">
        <v>26</v>
      </c>
      <c r="O121" s="5">
        <v>2</v>
      </c>
      <c r="P121" s="2"/>
      <c r="Q121" s="5"/>
    </row>
    <row r="122" spans="1:17" ht="15.5">
      <c r="A122" s="5">
        <v>75</v>
      </c>
      <c r="B122" s="8" t="s">
        <v>16</v>
      </c>
      <c r="C122" s="5" t="str">
        <f>HYPERLINK("http://data.overheid.nl/data/dataset/vergunningen-open-bodemenergieopslagsystemen","Vergunningen open bodemenergieopslagsystemen")</f>
        <v>Vergunningen open bodemenergieopslagsystemen</v>
      </c>
      <c r="D122" s="8" t="s">
        <v>17</v>
      </c>
      <c r="E122" s="5" t="s">
        <v>18</v>
      </c>
      <c r="F122" s="2" t="s">
        <v>372</v>
      </c>
      <c r="G122" s="5" t="s">
        <v>102</v>
      </c>
      <c r="H122" s="8" t="s">
        <v>21</v>
      </c>
      <c r="I122" s="5" t="s">
        <v>22</v>
      </c>
      <c r="J122" s="4" t="s">
        <v>23</v>
      </c>
      <c r="K122" s="3" t="s">
        <v>19</v>
      </c>
      <c r="L122" s="8" t="s">
        <v>24</v>
      </c>
      <c r="M122" s="5" t="s">
        <v>25</v>
      </c>
      <c r="N122" s="2" t="s">
        <v>26</v>
      </c>
      <c r="O122" s="5">
        <v>2</v>
      </c>
      <c r="P122" s="2"/>
      <c r="Q122" s="5"/>
    </row>
    <row r="123" spans="1:17" ht="15.5">
      <c r="A123" s="5">
        <v>76</v>
      </c>
      <c r="B123" s="8" t="s">
        <v>16</v>
      </c>
      <c r="C123" s="5" t="str">
        <f>HYPERLINK("http://data.overheid.nl/data/dataset/totaal-clusters-van-alle-woningen","Totaal clusters van alle woningen")</f>
        <v>Totaal clusters van alle woningen</v>
      </c>
      <c r="D123" s="8" t="s">
        <v>17</v>
      </c>
      <c r="E123" s="5" t="s">
        <v>18</v>
      </c>
      <c r="F123" s="2" t="s">
        <v>372</v>
      </c>
      <c r="G123" s="5" t="s">
        <v>103</v>
      </c>
      <c r="H123" s="8" t="s">
        <v>21</v>
      </c>
      <c r="I123" s="5" t="s">
        <v>22</v>
      </c>
      <c r="J123" s="4" t="s">
        <v>23</v>
      </c>
      <c r="K123" s="3" t="s">
        <v>19</v>
      </c>
      <c r="L123" s="8" t="s">
        <v>24</v>
      </c>
      <c r="M123" s="5" t="s">
        <v>25</v>
      </c>
      <c r="N123" s="2" t="s">
        <v>26</v>
      </c>
      <c r="O123" s="5">
        <v>2</v>
      </c>
      <c r="P123" s="2"/>
      <c r="Q123" s="5"/>
    </row>
    <row r="124" spans="1:17" ht="77.5">
      <c r="A124" s="5">
        <v>77</v>
      </c>
      <c r="B124" s="8" t="s">
        <v>16</v>
      </c>
      <c r="C124" s="5" t="str">
        <f>HYPERLINK("http://data.overheid.nl/data/dataset/beschermingsniveau-van-regionale-waterkeringen-van-de-hdsr","Beschermingsniveau van regionale waterkeringen van de HDSR")</f>
        <v>Beschermingsniveau van regionale waterkeringen van de HDSR</v>
      </c>
      <c r="D124" s="8" t="s">
        <v>17</v>
      </c>
      <c r="E124" s="5" t="s">
        <v>18</v>
      </c>
      <c r="F124" s="2" t="s">
        <v>372</v>
      </c>
      <c r="G124" s="5" t="s">
        <v>104</v>
      </c>
      <c r="H124" s="8" t="s">
        <v>21</v>
      </c>
      <c r="I124" s="5" t="s">
        <v>22</v>
      </c>
      <c r="J124" s="4" t="s">
        <v>23</v>
      </c>
      <c r="K124" s="3" t="s">
        <v>19</v>
      </c>
      <c r="L124" s="8" t="s">
        <v>24</v>
      </c>
      <c r="M124" s="5" t="s">
        <v>25</v>
      </c>
      <c r="N124" s="2" t="s">
        <v>26</v>
      </c>
      <c r="O124" s="5">
        <v>2</v>
      </c>
      <c r="P124" s="2"/>
      <c r="Q124" s="5"/>
    </row>
    <row r="125" spans="1:17" ht="62">
      <c r="A125" s="5">
        <v>78</v>
      </c>
      <c r="B125" s="8" t="s">
        <v>16</v>
      </c>
      <c r="C125" s="5" t="str">
        <f>HYPERLINK("http://data.overheid.nl/data/dataset/clusters-no2-wegen","Clusters NO2 - wegen")</f>
        <v>Clusters NO2 - wegen</v>
      </c>
      <c r="D125" s="8" t="s">
        <v>17</v>
      </c>
      <c r="E125" s="5" t="s">
        <v>18</v>
      </c>
      <c r="F125" s="2" t="s">
        <v>372</v>
      </c>
      <c r="G125" s="5" t="s">
        <v>105</v>
      </c>
      <c r="H125" s="8" t="s">
        <v>21</v>
      </c>
      <c r="I125" s="5" t="s">
        <v>22</v>
      </c>
      <c r="J125" s="4" t="s">
        <v>23</v>
      </c>
      <c r="K125" s="3" t="s">
        <v>19</v>
      </c>
      <c r="L125" s="8" t="s">
        <v>24</v>
      </c>
      <c r="M125" s="5" t="s">
        <v>25</v>
      </c>
      <c r="N125" s="2" t="s">
        <v>26</v>
      </c>
      <c r="O125" s="5">
        <v>2</v>
      </c>
      <c r="P125" s="2"/>
      <c r="Q125" s="5"/>
    </row>
    <row r="126" spans="1:17" ht="77.5">
      <c r="A126" s="5">
        <v>79</v>
      </c>
      <c r="B126" s="8" t="s">
        <v>16</v>
      </c>
      <c r="C126" s="5" t="str">
        <f>HYPERLINK("http://data.overheid.nl/data/dataset/gevoelige-bestemmingen-geluid-lnight-vliegverkeer","Gevoelige bestemmingen geluid (Lnight) - vliegverkeer.")</f>
        <v>Gevoelige bestemmingen geluid (Lnight) - vliegverkeer.</v>
      </c>
      <c r="D126" s="8" t="s">
        <v>17</v>
      </c>
      <c r="E126" s="5" t="s">
        <v>18</v>
      </c>
      <c r="F126" s="2" t="s">
        <v>372</v>
      </c>
      <c r="G126" s="5" t="s">
        <v>106</v>
      </c>
      <c r="H126" s="8" t="s">
        <v>21</v>
      </c>
      <c r="I126" s="5" t="s">
        <v>22</v>
      </c>
      <c r="J126" s="4" t="s">
        <v>23</v>
      </c>
      <c r="K126" s="3" t="s">
        <v>19</v>
      </c>
      <c r="L126" s="8" t="s">
        <v>24</v>
      </c>
      <c r="M126" s="5" t="s">
        <v>25</v>
      </c>
      <c r="N126" s="2" t="s">
        <v>26</v>
      </c>
      <c r="O126" s="5">
        <v>2</v>
      </c>
      <c r="P126" s="2"/>
      <c r="Q126" s="5"/>
    </row>
    <row r="127" spans="1:17" ht="93">
      <c r="A127" s="5">
        <v>80</v>
      </c>
      <c r="B127" s="8" t="s">
        <v>16</v>
      </c>
      <c r="C127" s="5" t="str">
        <f>HYPERLINK("http://data.overheid.nl/data/dataset/gevoelige-bestemmingen-geur-industriele-bedrijven","Gevoelige bestemmingen geur - industriele bedrijven")</f>
        <v>Gevoelige bestemmingen geur - industriele bedrijven</v>
      </c>
      <c r="D127" s="8" t="s">
        <v>17</v>
      </c>
      <c r="E127" s="5" t="s">
        <v>18</v>
      </c>
      <c r="F127" s="2" t="s">
        <v>372</v>
      </c>
      <c r="G127" s="5" t="s">
        <v>107</v>
      </c>
      <c r="H127" s="8" t="s">
        <v>21</v>
      </c>
      <c r="I127" s="5" t="s">
        <v>22</v>
      </c>
      <c r="J127" s="4" t="s">
        <v>23</v>
      </c>
      <c r="K127" s="3" t="s">
        <v>19</v>
      </c>
      <c r="L127" s="8" t="s">
        <v>24</v>
      </c>
      <c r="M127" s="5" t="s">
        <v>25</v>
      </c>
      <c r="N127" s="2" t="s">
        <v>26</v>
      </c>
      <c r="O127" s="5">
        <v>2</v>
      </c>
      <c r="P127" s="2"/>
      <c r="Q127" s="5"/>
    </row>
    <row r="128" spans="1:17" ht="108.5">
      <c r="A128" s="5">
        <v>81</v>
      </c>
      <c r="B128" s="8" t="s">
        <v>16</v>
      </c>
      <c r="C128" s="5" t="str">
        <f>HYPERLINK("http://data.overheid.nl/data/dataset/ges-contouren-geluid-lden-vliegverkeer","GES-contouren geluid (Lden) - vliegverkeer")</f>
        <v>GES-contouren geluid (Lden) - vliegverkeer</v>
      </c>
      <c r="D128" s="8" t="s">
        <v>17</v>
      </c>
      <c r="E128" s="5" t="s">
        <v>18</v>
      </c>
      <c r="F128" s="2" t="s">
        <v>372</v>
      </c>
      <c r="G128" s="5" t="s">
        <v>108</v>
      </c>
      <c r="H128" s="8" t="s">
        <v>21</v>
      </c>
      <c r="I128" s="5" t="s">
        <v>22</v>
      </c>
      <c r="J128" s="4" t="s">
        <v>23</v>
      </c>
      <c r="K128" s="3" t="s">
        <v>19</v>
      </c>
      <c r="L128" s="8" t="s">
        <v>24</v>
      </c>
      <c r="M128" s="5" t="s">
        <v>25</v>
      </c>
      <c r="N128" s="2" t="s">
        <v>26</v>
      </c>
      <c r="O128" s="5">
        <v>2</v>
      </c>
      <c r="P128" s="2"/>
      <c r="Q128" s="5"/>
    </row>
    <row r="129" spans="1:17" ht="77.5">
      <c r="A129" s="5">
        <v>82</v>
      </c>
      <c r="B129" s="8" t="s">
        <v>16</v>
      </c>
      <c r="C129" s="5" t="str">
        <f>HYPERLINK("http://data.overheid.nl/data/dataset/gevoelige-bestemmingen-geur-veehouderijen","Gevoelige bestemmingen geur - veehouderijen")</f>
        <v>Gevoelige bestemmingen geur - veehouderijen</v>
      </c>
      <c r="D129" s="8" t="s">
        <v>17</v>
      </c>
      <c r="E129" s="5" t="s">
        <v>18</v>
      </c>
      <c r="F129" s="2" t="s">
        <v>372</v>
      </c>
      <c r="G129" s="5" t="s">
        <v>109</v>
      </c>
      <c r="H129" s="8" t="s">
        <v>21</v>
      </c>
      <c r="I129" s="5" t="s">
        <v>22</v>
      </c>
      <c r="J129" s="4" t="s">
        <v>23</v>
      </c>
      <c r="K129" s="3" t="s">
        <v>19</v>
      </c>
      <c r="L129" s="8" t="s">
        <v>24</v>
      </c>
      <c r="M129" s="5" t="s">
        <v>25</v>
      </c>
      <c r="N129" s="2" t="s">
        <v>26</v>
      </c>
      <c r="O129" s="5">
        <v>2</v>
      </c>
      <c r="P129" s="2"/>
      <c r="Q129" s="5"/>
    </row>
    <row r="130" spans="1:17" ht="77.5">
      <c r="A130" s="5">
        <v>83</v>
      </c>
      <c r="B130" s="8" t="s">
        <v>16</v>
      </c>
      <c r="C130" s="5" t="str">
        <f>HYPERLINK("http://data.overheid.nl/data/dataset/clusters-geluid-vliegverkeer","Clusters geluid - vliegverkeer")</f>
        <v>Clusters geluid - vliegverkeer</v>
      </c>
      <c r="D130" s="8" t="s">
        <v>17</v>
      </c>
      <c r="E130" s="5" t="s">
        <v>18</v>
      </c>
      <c r="F130" s="2" t="s">
        <v>372</v>
      </c>
      <c r="G130" s="5" t="s">
        <v>110</v>
      </c>
      <c r="H130" s="8" t="s">
        <v>21</v>
      </c>
      <c r="I130" s="5" t="s">
        <v>22</v>
      </c>
      <c r="J130" s="4" t="s">
        <v>23</v>
      </c>
      <c r="K130" s="3" t="s">
        <v>19</v>
      </c>
      <c r="L130" s="8" t="s">
        <v>24</v>
      </c>
      <c r="M130" s="5" t="s">
        <v>25</v>
      </c>
      <c r="N130" s="2" t="s">
        <v>26</v>
      </c>
      <c r="O130" s="5">
        <v>2</v>
      </c>
      <c r="P130" s="2"/>
      <c r="Q130" s="5"/>
    </row>
    <row r="131" spans="1:17" ht="77.5">
      <c r="A131" s="5">
        <v>84</v>
      </c>
      <c r="B131" s="8" t="s">
        <v>16</v>
      </c>
      <c r="C131" s="5" t="str">
        <f>HYPERLINK("http://data.overheid.nl/data/dataset/belaste-woningen-no2-wegen","Belaste woningen NO2 wegen")</f>
        <v>Belaste woningen NO2 wegen</v>
      </c>
      <c r="D131" s="8" t="s">
        <v>17</v>
      </c>
      <c r="E131" s="5" t="s">
        <v>18</v>
      </c>
      <c r="F131" s="2" t="s">
        <v>372</v>
      </c>
      <c r="G131" s="5" t="s">
        <v>111</v>
      </c>
      <c r="H131" s="8" t="s">
        <v>21</v>
      </c>
      <c r="I131" s="5" t="s">
        <v>22</v>
      </c>
      <c r="J131" s="4" t="s">
        <v>23</v>
      </c>
      <c r="K131" s="3" t="s">
        <v>19</v>
      </c>
      <c r="L131" s="8" t="s">
        <v>24</v>
      </c>
      <c r="M131" s="5" t="s">
        <v>25</v>
      </c>
      <c r="N131" s="2" t="s">
        <v>26</v>
      </c>
      <c r="O131" s="5">
        <v>3</v>
      </c>
      <c r="P131" s="2"/>
      <c r="Q131" s="5"/>
    </row>
    <row r="132" spans="1:17" ht="77.5">
      <c r="A132" s="5">
        <v>85</v>
      </c>
      <c r="B132" s="8" t="s">
        <v>16</v>
      </c>
      <c r="C132" s="5" t="str">
        <f>HYPERLINK("http://data.overheid.nl/data/dataset/belaste-woningen-geluid-lden-vliegverkeer","Belaste woningen geluid (Lden) - vliegverkeer")</f>
        <v>Belaste woningen geluid (Lden) - vliegverkeer</v>
      </c>
      <c r="D132" s="8" t="s">
        <v>17</v>
      </c>
      <c r="E132" s="5" t="s">
        <v>18</v>
      </c>
      <c r="F132" s="2" t="s">
        <v>372</v>
      </c>
      <c r="G132" s="5" t="s">
        <v>112</v>
      </c>
      <c r="H132" s="8" t="s">
        <v>21</v>
      </c>
      <c r="I132" s="5" t="s">
        <v>22</v>
      </c>
      <c r="J132" s="4" t="s">
        <v>23</v>
      </c>
      <c r="K132" s="3" t="s">
        <v>19</v>
      </c>
      <c r="L132" s="8" t="s">
        <v>24</v>
      </c>
      <c r="M132" s="5" t="s">
        <v>25</v>
      </c>
      <c r="N132" s="2" t="s">
        <v>26</v>
      </c>
      <c r="O132" s="5">
        <v>2</v>
      </c>
      <c r="P132" s="2"/>
      <c r="Q132" s="5"/>
    </row>
    <row r="133" spans="1:17" ht="77.5">
      <c r="A133" s="5">
        <v>86</v>
      </c>
      <c r="B133" s="8" t="s">
        <v>16</v>
      </c>
      <c r="C133" s="5" t="str">
        <f>HYPERLINK("http://data.overheid.nl/data/dataset/ges-contouren-geur-veehouderijen","GES-contouren geur - veehouderijen")</f>
        <v>GES-contouren geur - veehouderijen</v>
      </c>
      <c r="D133" s="8" t="s">
        <v>17</v>
      </c>
      <c r="E133" s="5" t="s">
        <v>18</v>
      </c>
      <c r="F133" s="2" t="s">
        <v>372</v>
      </c>
      <c r="G133" s="5" t="s">
        <v>113</v>
      </c>
      <c r="H133" s="8" t="s">
        <v>21</v>
      </c>
      <c r="I133" s="5" t="s">
        <v>22</v>
      </c>
      <c r="J133" s="4" t="s">
        <v>23</v>
      </c>
      <c r="K133" s="3" t="s">
        <v>19</v>
      </c>
      <c r="L133" s="8" t="s">
        <v>24</v>
      </c>
      <c r="M133" s="5" t="s">
        <v>25</v>
      </c>
      <c r="N133" s="2" t="s">
        <v>26</v>
      </c>
      <c r="O133" s="5">
        <v>2</v>
      </c>
      <c r="P133" s="2"/>
      <c r="Q133" s="5"/>
    </row>
    <row r="134" spans="1:17" ht="77.5">
      <c r="A134" s="5">
        <v>87</v>
      </c>
      <c r="B134" s="8" t="s">
        <v>16</v>
      </c>
      <c r="C134" s="5" t="str">
        <f>HYPERLINK("http://data.overheid.nl/data/dataset/gevoelige-bestemmingen-no2","Gevoelige bestemmingen NO2")</f>
        <v>Gevoelige bestemmingen NO2</v>
      </c>
      <c r="D134" s="8" t="s">
        <v>17</v>
      </c>
      <c r="E134" s="5" t="s">
        <v>18</v>
      </c>
      <c r="F134" s="2" t="s">
        <v>372</v>
      </c>
      <c r="G134" s="5" t="s">
        <v>114</v>
      </c>
      <c r="H134" s="8" t="s">
        <v>21</v>
      </c>
      <c r="I134" s="5" t="s">
        <v>22</v>
      </c>
      <c r="J134" s="4" t="s">
        <v>23</v>
      </c>
      <c r="K134" s="3" t="s">
        <v>19</v>
      </c>
      <c r="L134" s="8" t="s">
        <v>24</v>
      </c>
      <c r="M134" s="5" t="s">
        <v>25</v>
      </c>
      <c r="N134" s="2" t="s">
        <v>26</v>
      </c>
      <c r="O134" s="5">
        <v>2</v>
      </c>
      <c r="P134" s="2"/>
      <c r="Q134" s="5"/>
    </row>
    <row r="135" spans="1:17" ht="62">
      <c r="A135" s="5">
        <v>89</v>
      </c>
      <c r="B135" s="8" t="s">
        <v>16</v>
      </c>
      <c r="C135" s="5" t="str">
        <f>HYPERLINK("http://data.overheid.nl/data/dataset/clusters-geur-veehouderijen","clusters geur - veehouderijen")</f>
        <v>clusters geur - veehouderijen</v>
      </c>
      <c r="D135" s="8" t="s">
        <v>17</v>
      </c>
      <c r="E135" s="5" t="s">
        <v>18</v>
      </c>
      <c r="F135" s="2" t="s">
        <v>372</v>
      </c>
      <c r="G135" s="5" t="s">
        <v>116</v>
      </c>
      <c r="H135" s="8" t="s">
        <v>21</v>
      </c>
      <c r="I135" s="5" t="s">
        <v>22</v>
      </c>
      <c r="J135" s="4" t="s">
        <v>23</v>
      </c>
      <c r="K135" s="3" t="s">
        <v>19</v>
      </c>
      <c r="L135" s="8" t="s">
        <v>24</v>
      </c>
      <c r="M135" s="5" t="s">
        <v>25</v>
      </c>
      <c r="N135" s="2" t="s">
        <v>26</v>
      </c>
      <c r="O135" s="5">
        <v>2</v>
      </c>
      <c r="P135" s="2"/>
      <c r="Q135" s="5"/>
    </row>
    <row r="136" spans="1:17" ht="77.5">
      <c r="A136" s="5">
        <v>90</v>
      </c>
      <c r="B136" s="8" t="s">
        <v>16</v>
      </c>
      <c r="C136" s="5" t="str">
        <f>HYPERLINK("http://data.overheid.nl/data/dataset/gevoelige-bestemmingen-geluid-lden-vliegverkeer","Gevoelige bestemmingen geluid (Lden) - vliegverkeer")</f>
        <v>Gevoelige bestemmingen geluid (Lden) - vliegverkeer</v>
      </c>
      <c r="D136" s="8" t="s">
        <v>17</v>
      </c>
      <c r="E136" s="5" t="s">
        <v>18</v>
      </c>
      <c r="F136" s="2" t="s">
        <v>372</v>
      </c>
      <c r="G136" s="5" t="s">
        <v>117</v>
      </c>
      <c r="H136" s="8" t="s">
        <v>21</v>
      </c>
      <c r="I136" s="5" t="s">
        <v>22</v>
      </c>
      <c r="J136" s="4" t="s">
        <v>23</v>
      </c>
      <c r="K136" s="3" t="s">
        <v>19</v>
      </c>
      <c r="L136" s="8" t="s">
        <v>24</v>
      </c>
      <c r="M136" s="5" t="s">
        <v>25</v>
      </c>
      <c r="N136" s="2" t="s">
        <v>26</v>
      </c>
      <c r="O136" s="5">
        <v>2</v>
      </c>
      <c r="P136" s="2"/>
      <c r="Q136" s="5"/>
    </row>
    <row r="137" spans="1:17" ht="77.5">
      <c r="A137" s="5">
        <v>91</v>
      </c>
      <c r="B137" s="8" t="s">
        <v>16</v>
      </c>
      <c r="C137" s="5" t="str">
        <f>HYPERLINK("http://data.overheid.nl/data/dataset/ges-contouren-pm2-5-wegen","GES-contouren PM2,5 - wegen")</f>
        <v>GES-contouren PM2,5 - wegen</v>
      </c>
      <c r="D137" s="8" t="s">
        <v>17</v>
      </c>
      <c r="E137" s="5" t="s">
        <v>18</v>
      </c>
      <c r="F137" s="2" t="s">
        <v>372</v>
      </c>
      <c r="G137" s="5" t="s">
        <v>118</v>
      </c>
      <c r="H137" s="8" t="s">
        <v>21</v>
      </c>
      <c r="I137" s="5" t="s">
        <v>22</v>
      </c>
      <c r="J137" s="4" t="s">
        <v>23</v>
      </c>
      <c r="K137" s="3" t="s">
        <v>19</v>
      </c>
      <c r="L137" s="8" t="s">
        <v>24</v>
      </c>
      <c r="M137" s="5" t="s">
        <v>25</v>
      </c>
      <c r="N137" s="2" t="s">
        <v>26</v>
      </c>
      <c r="O137" s="5">
        <v>2</v>
      </c>
      <c r="P137" s="2"/>
      <c r="Q137" s="5"/>
    </row>
    <row r="138" spans="1:17" ht="77.5">
      <c r="A138" s="5">
        <v>92</v>
      </c>
      <c r="B138" s="8" t="s">
        <v>16</v>
      </c>
      <c r="C138" s="5" t="str">
        <f>HYPERLINK("http://data.overheid.nl/data/dataset/ges-contouren-no2-wegen","GES-contouren NO2 - wegen")</f>
        <v>GES-contouren NO2 - wegen</v>
      </c>
      <c r="D138" s="8" t="s">
        <v>17</v>
      </c>
      <c r="E138" s="5" t="s">
        <v>18</v>
      </c>
      <c r="F138" s="2" t="s">
        <v>372</v>
      </c>
      <c r="G138" s="5" t="s">
        <v>119</v>
      </c>
      <c r="H138" s="8" t="s">
        <v>21</v>
      </c>
      <c r="I138" s="5" t="s">
        <v>22</v>
      </c>
      <c r="J138" s="4" t="s">
        <v>23</v>
      </c>
      <c r="K138" s="3" t="s">
        <v>19</v>
      </c>
      <c r="L138" s="8" t="s">
        <v>24</v>
      </c>
      <c r="M138" s="5" t="s">
        <v>25</v>
      </c>
      <c r="N138" s="2" t="s">
        <v>26</v>
      </c>
      <c r="O138" s="5">
        <v>2</v>
      </c>
      <c r="P138" s="2"/>
      <c r="Q138" s="5"/>
    </row>
    <row r="139" spans="1:17" ht="93">
      <c r="A139" s="5">
        <v>93</v>
      </c>
      <c r="B139" s="8" t="s">
        <v>16</v>
      </c>
      <c r="C139" s="5" t="str">
        <f>HYPERLINK("http://data.overheid.nl/data/dataset/belaste-woningen-geur-industriele-bedrijven","Belaste woningen geur - industriele bedrijven")</f>
        <v>Belaste woningen geur - industriele bedrijven</v>
      </c>
      <c r="D139" s="8" t="s">
        <v>17</v>
      </c>
      <c r="E139" s="5" t="s">
        <v>18</v>
      </c>
      <c r="F139" s="2" t="s">
        <v>372</v>
      </c>
      <c r="G139" s="5" t="s">
        <v>120</v>
      </c>
      <c r="H139" s="8" t="s">
        <v>21</v>
      </c>
      <c r="I139" s="5" t="s">
        <v>22</v>
      </c>
      <c r="J139" s="4" t="s">
        <v>23</v>
      </c>
      <c r="K139" s="3" t="s">
        <v>19</v>
      </c>
      <c r="L139" s="8" t="s">
        <v>24</v>
      </c>
      <c r="M139" s="5" t="s">
        <v>25</v>
      </c>
      <c r="N139" s="2" t="s">
        <v>26</v>
      </c>
      <c r="O139" s="5">
        <v>2</v>
      </c>
      <c r="P139" s="2"/>
      <c r="Q139" s="5"/>
    </row>
    <row r="140" spans="1:17" ht="93">
      <c r="A140" s="5">
        <v>94</v>
      </c>
      <c r="B140" s="8" t="s">
        <v>16</v>
      </c>
      <c r="C140" s="5" t="str">
        <f>HYPERLINK("http://data.overheid.nl/data/dataset/ges-contouren-geluid-lnight-vliegverkeer","GES-contouren geluid (Lnight) - vliegverkeer.")</f>
        <v>GES-contouren geluid (Lnight) - vliegverkeer.</v>
      </c>
      <c r="D140" s="8" t="s">
        <v>17</v>
      </c>
      <c r="E140" s="5" t="s">
        <v>18</v>
      </c>
      <c r="F140" s="2" t="s">
        <v>372</v>
      </c>
      <c r="G140" s="5" t="s">
        <v>121</v>
      </c>
      <c r="H140" s="8" t="s">
        <v>21</v>
      </c>
      <c r="I140" s="5" t="s">
        <v>22</v>
      </c>
      <c r="J140" s="4" t="s">
        <v>23</v>
      </c>
      <c r="K140" s="3" t="s">
        <v>19</v>
      </c>
      <c r="L140" s="8" t="s">
        <v>24</v>
      </c>
      <c r="M140" s="5" t="s">
        <v>25</v>
      </c>
      <c r="N140" s="2" t="s">
        <v>26</v>
      </c>
      <c r="O140" s="5">
        <v>2</v>
      </c>
      <c r="P140" s="2"/>
      <c r="Q140" s="5"/>
    </row>
    <row r="141" spans="1:17" ht="77.5">
      <c r="A141" s="5">
        <v>96</v>
      </c>
      <c r="B141" s="8" t="s">
        <v>16</v>
      </c>
      <c r="C141" s="5" t="str">
        <f>HYPERLINK("http://data.overheid.nl/data/dataset/belaste-woningen-a-g-v-bedrijven-met-risicovolle-activiteiten","Belaste woningen a.g.v. bedrijven met risicovolle activiteiten")</f>
        <v>Belaste woningen a.g.v. bedrijven met risicovolle activiteiten</v>
      </c>
      <c r="D141" s="8" t="s">
        <v>17</v>
      </c>
      <c r="E141" s="5" t="s">
        <v>18</v>
      </c>
      <c r="F141" s="2" t="s">
        <v>372</v>
      </c>
      <c r="G141" s="5" t="s">
        <v>123</v>
      </c>
      <c r="H141" s="8" t="s">
        <v>21</v>
      </c>
      <c r="I141" s="5" t="s">
        <v>22</v>
      </c>
      <c r="J141" s="4" t="s">
        <v>23</v>
      </c>
      <c r="K141" s="3" t="s">
        <v>19</v>
      </c>
      <c r="L141" s="8" t="s">
        <v>24</v>
      </c>
      <c r="M141" s="5" t="s">
        <v>25</v>
      </c>
      <c r="N141" s="2" t="s">
        <v>26</v>
      </c>
      <c r="O141" s="5">
        <v>2</v>
      </c>
      <c r="P141" s="2"/>
      <c r="Q141" s="5"/>
    </row>
    <row r="142" spans="1:17" ht="15.5">
      <c r="A142" s="5">
        <v>97</v>
      </c>
      <c r="B142" s="8" t="s">
        <v>16</v>
      </c>
      <c r="C142" s="5" t="str">
        <f>HYPERLINK("http://data.overheid.nl/data/dataset/verhardingen-2016","Verhardingen 2016")</f>
        <v>Verhardingen 2016</v>
      </c>
      <c r="D142" s="8" t="s">
        <v>17</v>
      </c>
      <c r="E142" s="5" t="s">
        <v>18</v>
      </c>
      <c r="F142" s="2" t="s">
        <v>372</v>
      </c>
      <c r="G142" s="5" t="s">
        <v>124</v>
      </c>
      <c r="H142" s="8" t="s">
        <v>21</v>
      </c>
      <c r="I142" s="5" t="s">
        <v>22</v>
      </c>
      <c r="J142" s="4" t="s">
        <v>23</v>
      </c>
      <c r="K142" s="3" t="s">
        <v>19</v>
      </c>
      <c r="L142" s="8" t="s">
        <v>24</v>
      </c>
      <c r="M142" s="5" t="s">
        <v>25</v>
      </c>
      <c r="N142" s="2" t="s">
        <v>26</v>
      </c>
      <c r="O142" s="5">
        <v>2</v>
      </c>
      <c r="P142" s="2"/>
      <c r="Q142" s="5"/>
    </row>
    <row r="143" spans="1:17" ht="15.5">
      <c r="A143" s="5">
        <v>98</v>
      </c>
      <c r="B143" s="8" t="s">
        <v>16</v>
      </c>
      <c r="C143" s="5" t="str">
        <f>HYPERLINK("http://data.overheid.nl/data/dataset/woonschepen","Woonschepen")</f>
        <v>Woonschepen</v>
      </c>
      <c r="D143" s="8" t="s">
        <v>17</v>
      </c>
      <c r="E143" s="5" t="s">
        <v>125</v>
      </c>
      <c r="F143" s="2" t="s">
        <v>372</v>
      </c>
      <c r="G143" s="5" t="s">
        <v>126</v>
      </c>
      <c r="H143" s="8" t="s">
        <v>21</v>
      </c>
      <c r="I143" s="5" t="s">
        <v>22</v>
      </c>
      <c r="J143" s="4" t="s">
        <v>23</v>
      </c>
      <c r="K143" s="3" t="s">
        <v>19</v>
      </c>
      <c r="L143" s="8" t="s">
        <v>24</v>
      </c>
      <c r="M143" s="5" t="s">
        <v>25</v>
      </c>
      <c r="N143" s="2" t="s">
        <v>26</v>
      </c>
      <c r="O143" s="5">
        <v>2</v>
      </c>
      <c r="P143" s="2"/>
      <c r="Q143" s="5"/>
    </row>
    <row r="144" spans="1:17" ht="31">
      <c r="A144" s="5">
        <v>99</v>
      </c>
      <c r="B144" s="8" t="s">
        <v>16</v>
      </c>
      <c r="C144" s="5" t="str">
        <f>HYPERLINK("http://data.overheid.nl/data/dataset/aanwezige-personen-100-m-vlakken","Aanwezige personen 100 m vlakken")</f>
        <v>Aanwezige personen 100 m vlakken</v>
      </c>
      <c r="D144" s="8" t="s">
        <v>17</v>
      </c>
      <c r="E144" s="5" t="s">
        <v>18</v>
      </c>
      <c r="F144" s="2" t="s">
        <v>372</v>
      </c>
      <c r="G144" s="5" t="s">
        <v>127</v>
      </c>
      <c r="H144" s="8" t="s">
        <v>21</v>
      </c>
      <c r="I144" s="5" t="s">
        <v>22</v>
      </c>
      <c r="J144" s="4" t="s">
        <v>23</v>
      </c>
      <c r="K144" s="3" t="s">
        <v>19</v>
      </c>
      <c r="L144" s="8" t="s">
        <v>24</v>
      </c>
      <c r="M144" s="5" t="s">
        <v>25</v>
      </c>
      <c r="N144" s="2" t="s">
        <v>26</v>
      </c>
      <c r="O144" s="5">
        <v>2</v>
      </c>
      <c r="P144" s="2"/>
      <c r="Q144" s="5"/>
    </row>
    <row r="145" spans="1:17" ht="325.5">
      <c r="A145" s="5">
        <v>101</v>
      </c>
      <c r="B145" s="8" t="s">
        <v>16</v>
      </c>
      <c r="C145" s="5" t="str">
        <f>HYPERLINK("http://data.overheid.nl/data/dataset/chat-speerpunten-cultuurhistorie","CHAT - speerpunten cultuurhistorie")</f>
        <v>CHAT - speerpunten cultuurhistorie</v>
      </c>
      <c r="D145" s="8" t="s">
        <v>17</v>
      </c>
      <c r="E145" s="5" t="s">
        <v>18</v>
      </c>
      <c r="F145" s="2" t="s">
        <v>372</v>
      </c>
      <c r="G145" s="5" t="s">
        <v>48</v>
      </c>
      <c r="H145" s="8" t="s">
        <v>21</v>
      </c>
      <c r="I145" s="5" t="s">
        <v>22</v>
      </c>
      <c r="J145" s="4" t="s">
        <v>23</v>
      </c>
      <c r="K145" s="3" t="s">
        <v>19</v>
      </c>
      <c r="L145" s="8" t="s">
        <v>24</v>
      </c>
      <c r="M145" s="5" t="s">
        <v>25</v>
      </c>
      <c r="N145" s="2" t="s">
        <v>26</v>
      </c>
      <c r="O145" s="5">
        <v>6</v>
      </c>
      <c r="P145" s="2"/>
      <c r="Q145" s="5"/>
    </row>
    <row r="146" spans="1:17" ht="46.5">
      <c r="A146" s="5">
        <v>102</v>
      </c>
      <c r="B146" s="8" t="s">
        <v>16</v>
      </c>
      <c r="C146" s="5" t="str">
        <f>HYPERLINK("http://data.overheid.nl/data/dataset/archeologische-booronderzoeken","Archeologische booronderzoeken")</f>
        <v>Archeologische booronderzoeken</v>
      </c>
      <c r="D146" s="8" t="s">
        <v>17</v>
      </c>
      <c r="E146" s="5" t="s">
        <v>18</v>
      </c>
      <c r="F146" s="2" t="s">
        <v>372</v>
      </c>
      <c r="G146" s="5" t="s">
        <v>129</v>
      </c>
      <c r="H146" s="8" t="s">
        <v>21</v>
      </c>
      <c r="I146" s="5" t="s">
        <v>22</v>
      </c>
      <c r="J146" s="4" t="s">
        <v>23</v>
      </c>
      <c r="K146" s="3" t="s">
        <v>19</v>
      </c>
      <c r="L146" s="8" t="s">
        <v>24</v>
      </c>
      <c r="M146" s="5" t="s">
        <v>25</v>
      </c>
      <c r="N146" s="2" t="s">
        <v>26</v>
      </c>
      <c r="O146" s="5">
        <v>1</v>
      </c>
      <c r="P146" s="2"/>
      <c r="Q146" s="5"/>
    </row>
    <row r="147" spans="1:17" ht="77.5">
      <c r="A147" s="5">
        <v>103</v>
      </c>
      <c r="B147" s="8" t="s">
        <v>16</v>
      </c>
      <c r="C147" s="5" t="str">
        <f>HYPERLINK("http://data.overheid.nl/data/dataset/gevoelige-bestemmingen-a-g-v-gevaarlijk-transport-langs-wegen","Gevoelige bestemmingen a.g.v. gevaarlijk transport langs wegen")</f>
        <v>Gevoelige bestemmingen a.g.v. gevaarlijk transport langs wegen</v>
      </c>
      <c r="D147" s="8" t="s">
        <v>17</v>
      </c>
      <c r="E147" s="5" t="s">
        <v>18</v>
      </c>
      <c r="F147" s="2" t="s">
        <v>372</v>
      </c>
      <c r="G147" s="5" t="s">
        <v>130</v>
      </c>
      <c r="H147" s="8" t="s">
        <v>21</v>
      </c>
      <c r="I147" s="5" t="s">
        <v>22</v>
      </c>
      <c r="J147" s="4" t="s">
        <v>23</v>
      </c>
      <c r="K147" s="3" t="s">
        <v>19</v>
      </c>
      <c r="L147" s="8" t="s">
        <v>24</v>
      </c>
      <c r="M147" s="5" t="s">
        <v>25</v>
      </c>
      <c r="N147" s="2" t="s">
        <v>26</v>
      </c>
      <c r="O147" s="5">
        <v>2</v>
      </c>
      <c r="P147" s="2"/>
      <c r="Q147" s="5"/>
    </row>
    <row r="148" spans="1:17" ht="62">
      <c r="A148" s="5">
        <v>104</v>
      </c>
      <c r="B148" s="8" t="s">
        <v>16</v>
      </c>
      <c r="C148" s="5" t="str">
        <f>HYPERLINK("http://data.overheid.nl/data/dataset/bestand-veehouderij-bedrijven","Bestand veehouderij bedrijven")</f>
        <v>Bestand veehouderij bedrijven</v>
      </c>
      <c r="D148" s="8" t="s">
        <v>17</v>
      </c>
      <c r="E148" s="5" t="s">
        <v>18</v>
      </c>
      <c r="F148" s="2" t="s">
        <v>372</v>
      </c>
      <c r="G148" s="5" t="s">
        <v>131</v>
      </c>
      <c r="H148" s="8" t="s">
        <v>21</v>
      </c>
      <c r="I148" s="5" t="s">
        <v>22</v>
      </c>
      <c r="J148" s="4" t="s">
        <v>23</v>
      </c>
      <c r="K148" s="3" t="s">
        <v>19</v>
      </c>
      <c r="L148" s="8" t="s">
        <v>24</v>
      </c>
      <c r="M148" s="5" t="s">
        <v>25</v>
      </c>
      <c r="N148" s="2" t="s">
        <v>26</v>
      </c>
      <c r="O148" s="5">
        <v>2</v>
      </c>
      <c r="P148" s="2"/>
      <c r="Q148" s="5"/>
    </row>
    <row r="149" spans="1:17" ht="77.5">
      <c r="A149" s="5">
        <v>105</v>
      </c>
      <c r="B149" s="8" t="s">
        <v>16</v>
      </c>
      <c r="C149" s="5" t="str">
        <f>HYPERLINK("http://data.overheid.nl/data/dataset/biodiversiteit-oude-boskernen","Biodiversiteit - oude boskernen")</f>
        <v>Biodiversiteit - oude boskernen</v>
      </c>
      <c r="D149" s="8" t="s">
        <v>17</v>
      </c>
      <c r="E149" s="5" t="s">
        <v>18</v>
      </c>
      <c r="F149" s="2" t="s">
        <v>372</v>
      </c>
      <c r="G149" s="5" t="s">
        <v>132</v>
      </c>
      <c r="H149" s="8" t="s">
        <v>21</v>
      </c>
      <c r="I149" s="5" t="s">
        <v>22</v>
      </c>
      <c r="J149" s="4" t="s">
        <v>23</v>
      </c>
      <c r="K149" s="3" t="s">
        <v>19</v>
      </c>
      <c r="L149" s="8" t="s">
        <v>24</v>
      </c>
      <c r="M149" s="5" t="s">
        <v>25</v>
      </c>
      <c r="N149" s="2" t="s">
        <v>26</v>
      </c>
      <c r="O149" s="5">
        <v>2</v>
      </c>
      <c r="P149" s="2"/>
      <c r="Q149" s="5"/>
    </row>
    <row r="150" spans="1:17" ht="31">
      <c r="A150" s="5">
        <v>107</v>
      </c>
      <c r="B150" s="8" t="s">
        <v>16</v>
      </c>
      <c r="C150" s="5" t="str">
        <f>HYPERLINK("http://data.overheid.nl/data/dataset/recreatieschappen-landschapsverordening-lsv","Recreatieschappen Landschapsverordening (Lsv)")</f>
        <v>Recreatieschappen Landschapsverordening (Lsv)</v>
      </c>
      <c r="D150" s="8" t="s">
        <v>17</v>
      </c>
      <c r="E150" s="5" t="s">
        <v>18</v>
      </c>
      <c r="F150" s="2" t="s">
        <v>372</v>
      </c>
      <c r="G150" s="5" t="s">
        <v>133</v>
      </c>
      <c r="H150" s="8" t="s">
        <v>21</v>
      </c>
      <c r="I150" s="5" t="s">
        <v>22</v>
      </c>
      <c r="J150" s="4" t="s">
        <v>23</v>
      </c>
      <c r="K150" s="3" t="s">
        <v>19</v>
      </c>
      <c r="L150" s="8" t="s">
        <v>24</v>
      </c>
      <c r="M150" s="5" t="s">
        <v>25</v>
      </c>
      <c r="N150" s="2" t="s">
        <v>26</v>
      </c>
      <c r="O150" s="5">
        <v>2</v>
      </c>
      <c r="P150" s="2"/>
      <c r="Q150" s="5"/>
    </row>
    <row r="151" spans="1:17" ht="15.5">
      <c r="A151" s="5">
        <v>108</v>
      </c>
      <c r="B151" s="8" t="s">
        <v>16</v>
      </c>
      <c r="C151" s="5" t="str">
        <f>HYPERLINK("http://data.overheid.nl/data/dataset/borden-stiltegebieden","borden stiltegebieden")</f>
        <v>borden stiltegebieden</v>
      </c>
      <c r="D151" s="8" t="s">
        <v>17</v>
      </c>
      <c r="E151" s="5" t="s">
        <v>18</v>
      </c>
      <c r="F151" s="2" t="s">
        <v>372</v>
      </c>
      <c r="G151" s="5" t="s">
        <v>134</v>
      </c>
      <c r="H151" s="8" t="s">
        <v>21</v>
      </c>
      <c r="I151" s="5" t="s">
        <v>22</v>
      </c>
      <c r="J151" s="4" t="s">
        <v>23</v>
      </c>
      <c r="K151" s="3" t="s">
        <v>19</v>
      </c>
      <c r="L151" s="8" t="s">
        <v>24</v>
      </c>
      <c r="M151" s="5" t="s">
        <v>25</v>
      </c>
      <c r="N151" s="2" t="s">
        <v>26</v>
      </c>
      <c r="O151" s="5">
        <v>2</v>
      </c>
      <c r="P151" s="2"/>
      <c r="Q151" s="5"/>
    </row>
    <row r="152" spans="1:17" ht="15.5">
      <c r="A152" s="5">
        <v>109</v>
      </c>
      <c r="B152" s="8" t="s">
        <v>135</v>
      </c>
      <c r="C152" s="5" t="str">
        <f>HYPERLINK("http://data.overheid.nl/data/dataset/mip","MIP")</f>
        <v>MIP</v>
      </c>
      <c r="D152" s="8" t="s">
        <v>17</v>
      </c>
      <c r="E152" s="3" t="s">
        <v>19</v>
      </c>
      <c r="F152" s="2" t="s">
        <v>372</v>
      </c>
      <c r="G152" s="5" t="s">
        <v>136</v>
      </c>
      <c r="H152" s="8" t="s">
        <v>137</v>
      </c>
      <c r="I152" s="5" t="s">
        <v>22</v>
      </c>
      <c r="J152" s="4" t="s">
        <v>23</v>
      </c>
      <c r="K152" s="3" t="s">
        <v>19</v>
      </c>
      <c r="L152" s="8" t="s">
        <v>24</v>
      </c>
      <c r="M152" s="5" t="s">
        <v>25</v>
      </c>
      <c r="N152" s="2" t="s">
        <v>26</v>
      </c>
      <c r="O152" s="5">
        <v>6</v>
      </c>
      <c r="P152" s="2"/>
      <c r="Q152" s="5"/>
    </row>
    <row r="153" spans="1:17" ht="124">
      <c r="A153" s="5">
        <v>110</v>
      </c>
      <c r="B153" s="8" t="s">
        <v>135</v>
      </c>
      <c r="C153" s="5" t="str">
        <f>HYPERLINK("http://data.overheid.nl/data/dataset/interlokale-utilitaire-hoofdfietsroutes","Interlokale Utilitaire Hoofdfietsroutes")</f>
        <v>Interlokale Utilitaire Hoofdfietsroutes</v>
      </c>
      <c r="D153" s="8" t="s">
        <v>17</v>
      </c>
      <c r="E153" s="3" t="s">
        <v>19</v>
      </c>
      <c r="F153" s="2" t="s">
        <v>372</v>
      </c>
      <c r="G153" s="5" t="s">
        <v>138</v>
      </c>
      <c r="H153" s="8" t="s">
        <v>137</v>
      </c>
      <c r="I153" s="5" t="s">
        <v>22</v>
      </c>
      <c r="J153" s="4" t="s">
        <v>23</v>
      </c>
      <c r="K153" s="3" t="s">
        <v>19</v>
      </c>
      <c r="L153" s="8" t="s">
        <v>24</v>
      </c>
      <c r="M153" s="5" t="s">
        <v>25</v>
      </c>
      <c r="N153" s="2" t="s">
        <v>26</v>
      </c>
      <c r="O153" s="5">
        <v>6</v>
      </c>
      <c r="P153" s="2"/>
      <c r="Q153" s="5"/>
    </row>
    <row r="154" spans="1:17" ht="15.5">
      <c r="A154" s="5">
        <v>111</v>
      </c>
      <c r="B154" s="8" t="s">
        <v>135</v>
      </c>
      <c r="C154" s="5" t="str">
        <f>HYPERLINK("http://data.overheid.nl/data/dataset/energie-klimaat-lucht","energie klimaat lucht")</f>
        <v>energie klimaat lucht</v>
      </c>
      <c r="D154" s="8" t="s">
        <v>17</v>
      </c>
      <c r="E154" s="3" t="s">
        <v>19</v>
      </c>
      <c r="F154" s="2" t="s">
        <v>372</v>
      </c>
      <c r="G154" s="5" t="s">
        <v>139</v>
      </c>
      <c r="H154" s="8" t="s">
        <v>137</v>
      </c>
      <c r="I154" s="5" t="s">
        <v>22</v>
      </c>
      <c r="J154" s="4" t="s">
        <v>23</v>
      </c>
      <c r="K154" s="3" t="s">
        <v>19</v>
      </c>
      <c r="L154" s="8" t="s">
        <v>24</v>
      </c>
      <c r="M154" s="5" t="s">
        <v>25</v>
      </c>
      <c r="N154" s="2" t="s">
        <v>26</v>
      </c>
      <c r="O154" s="5">
        <v>6</v>
      </c>
      <c r="P154" s="2"/>
      <c r="Q154" s="5"/>
    </row>
    <row r="155" spans="1:17" ht="15.5">
      <c r="A155" s="5">
        <v>112</v>
      </c>
      <c r="B155" s="8" t="s">
        <v>135</v>
      </c>
      <c r="C155" s="5" t="str">
        <f>HYPERLINK("http://data.overheid.nl/data/dataset/contouren-no2-wegverkeer","contouren NO2 wegverkeer")</f>
        <v>contouren NO2 wegverkeer</v>
      </c>
      <c r="D155" s="8" t="s">
        <v>17</v>
      </c>
      <c r="E155" s="3" t="s">
        <v>19</v>
      </c>
      <c r="F155" s="2" t="s">
        <v>372</v>
      </c>
      <c r="G155" s="5" t="s">
        <v>140</v>
      </c>
      <c r="H155" s="8" t="s">
        <v>137</v>
      </c>
      <c r="I155" s="5" t="s">
        <v>22</v>
      </c>
      <c r="J155" s="4" t="s">
        <v>23</v>
      </c>
      <c r="K155" s="3" t="s">
        <v>19</v>
      </c>
      <c r="L155" s="8" t="s">
        <v>24</v>
      </c>
      <c r="M155" s="5" t="s">
        <v>25</v>
      </c>
      <c r="N155" s="2" t="s">
        <v>26</v>
      </c>
      <c r="O155" s="5">
        <v>6</v>
      </c>
      <c r="P155" s="2"/>
      <c r="Q155" s="5"/>
    </row>
    <row r="156" spans="1:17" ht="46.5">
      <c r="A156" s="5">
        <v>113</v>
      </c>
      <c r="B156" s="8" t="s">
        <v>135</v>
      </c>
      <c r="C156" s="5" t="str">
        <f>HYPERLINK("http://data.overheid.nl/data/dataset/arbeidsplaatsen35a9c","arbeidsplaatsen")</f>
        <v>arbeidsplaatsen</v>
      </c>
      <c r="D156" s="8" t="s">
        <v>17</v>
      </c>
      <c r="E156" s="3" t="s">
        <v>19</v>
      </c>
      <c r="F156" s="2" t="s">
        <v>372</v>
      </c>
      <c r="G156" s="5" t="s">
        <v>141</v>
      </c>
      <c r="H156" s="8" t="s">
        <v>137</v>
      </c>
      <c r="I156" s="5" t="s">
        <v>22</v>
      </c>
      <c r="J156" s="4" t="s">
        <v>23</v>
      </c>
      <c r="K156" s="3" t="s">
        <v>19</v>
      </c>
      <c r="L156" s="8" t="s">
        <v>24</v>
      </c>
      <c r="M156" s="5" t="s">
        <v>25</v>
      </c>
      <c r="N156" s="2" t="s">
        <v>26</v>
      </c>
      <c r="O156" s="5">
        <v>6</v>
      </c>
      <c r="P156" s="2"/>
      <c r="Q156" s="5"/>
    </row>
    <row r="157" spans="1:17" ht="124">
      <c r="A157" s="5">
        <v>114</v>
      </c>
      <c r="B157" s="8" t="s">
        <v>135</v>
      </c>
      <c r="C157" s="5" t="str">
        <f>HYPERLINK("http://data.overheid.nl/data/dataset/aantal-leerlingen-voortgezet-onderwijs","Aantal leerlingen voortgezet onderwijs")</f>
        <v>Aantal leerlingen voortgezet onderwijs</v>
      </c>
      <c r="D157" s="8" t="s">
        <v>17</v>
      </c>
      <c r="E157" s="3" t="s">
        <v>19</v>
      </c>
      <c r="F157" s="2" t="s">
        <v>372</v>
      </c>
      <c r="G157" s="5" t="s">
        <v>138</v>
      </c>
      <c r="H157" s="8" t="s">
        <v>137</v>
      </c>
      <c r="I157" s="5" t="s">
        <v>22</v>
      </c>
      <c r="J157" s="4" t="s">
        <v>23</v>
      </c>
      <c r="K157" s="3" t="s">
        <v>19</v>
      </c>
      <c r="L157" s="8" t="s">
        <v>24</v>
      </c>
      <c r="M157" s="5" t="s">
        <v>25</v>
      </c>
      <c r="N157" s="2" t="s">
        <v>26</v>
      </c>
      <c r="O157" s="5">
        <v>6</v>
      </c>
      <c r="P157" s="2"/>
      <c r="Q157" s="5"/>
    </row>
    <row r="158" spans="1:17" ht="15.5">
      <c r="A158" s="5">
        <v>115</v>
      </c>
      <c r="B158" s="8" t="s">
        <v>135</v>
      </c>
      <c r="C158" s="5" t="str">
        <f>HYPERLINK("http://data.overheid.nl/data/dataset/zonnedaken","zonnedaken")</f>
        <v>zonnedaken</v>
      </c>
      <c r="D158" s="8" t="s">
        <v>17</v>
      </c>
      <c r="E158" s="3" t="s">
        <v>19</v>
      </c>
      <c r="F158" s="2" t="s">
        <v>372</v>
      </c>
      <c r="G158" s="5" t="s">
        <v>142</v>
      </c>
      <c r="H158" s="8" t="s">
        <v>137</v>
      </c>
      <c r="I158" s="5" t="s">
        <v>22</v>
      </c>
      <c r="J158" s="4" t="s">
        <v>23</v>
      </c>
      <c r="K158" s="3" t="s">
        <v>19</v>
      </c>
      <c r="L158" s="8" t="s">
        <v>24</v>
      </c>
      <c r="M158" s="5" t="s">
        <v>25</v>
      </c>
      <c r="N158" s="2" t="s">
        <v>143</v>
      </c>
      <c r="O158" s="5">
        <v>6</v>
      </c>
      <c r="P158" s="2"/>
      <c r="Q158" s="5"/>
    </row>
    <row r="159" spans="1:17" ht="124">
      <c r="A159" s="5">
        <v>116</v>
      </c>
      <c r="B159" s="8" t="s">
        <v>135</v>
      </c>
      <c r="C159" s="5" t="str">
        <f>HYPERLINK("http://data.overheid.nl/data/dataset/weg-met-functie","Weg met Functie")</f>
        <v>Weg met Functie</v>
      </c>
      <c r="D159" s="8" t="s">
        <v>17</v>
      </c>
      <c r="E159" s="3" t="s">
        <v>19</v>
      </c>
      <c r="F159" s="2" t="s">
        <v>372</v>
      </c>
      <c r="G159" s="5" t="s">
        <v>138</v>
      </c>
      <c r="H159" s="8" t="s">
        <v>137</v>
      </c>
      <c r="I159" s="5" t="s">
        <v>22</v>
      </c>
      <c r="J159" s="4" t="s">
        <v>23</v>
      </c>
      <c r="K159" s="3" t="s">
        <v>19</v>
      </c>
      <c r="L159" s="8" t="s">
        <v>24</v>
      </c>
      <c r="M159" s="5" t="s">
        <v>25</v>
      </c>
      <c r="N159" s="2" t="s">
        <v>143</v>
      </c>
      <c r="O159" s="5">
        <v>6</v>
      </c>
      <c r="P159" s="2"/>
      <c r="Q159" s="5"/>
    </row>
    <row r="160" spans="1:17" ht="15.5">
      <c r="A160" s="5">
        <v>117</v>
      </c>
      <c r="B160" s="8" t="s">
        <v>135</v>
      </c>
      <c r="C160" s="5" t="str">
        <f>HYPERLINK("http://data.overheid.nl/data/dataset/recreatie-wandelroutes-provincie","RECREATIE.wandelroutes provincie")</f>
        <v>RECREATIE.wandelroutes provincie</v>
      </c>
      <c r="D160" s="8" t="s">
        <v>17</v>
      </c>
      <c r="E160" s="3" t="s">
        <v>19</v>
      </c>
      <c r="F160" s="2" t="s">
        <v>372</v>
      </c>
      <c r="G160" s="5" t="s">
        <v>144</v>
      </c>
      <c r="H160" s="8" t="s">
        <v>137</v>
      </c>
      <c r="I160" s="5" t="s">
        <v>22</v>
      </c>
      <c r="J160" s="4" t="s">
        <v>23</v>
      </c>
      <c r="K160" s="3" t="s">
        <v>19</v>
      </c>
      <c r="L160" s="8" t="s">
        <v>24</v>
      </c>
      <c r="M160" s="5" t="s">
        <v>25</v>
      </c>
      <c r="N160" s="2" t="s">
        <v>143</v>
      </c>
      <c r="O160" s="5">
        <v>6</v>
      </c>
      <c r="P160" s="2"/>
      <c r="Q160" s="5"/>
    </row>
    <row r="161" spans="1:17" ht="15.5">
      <c r="A161" s="5">
        <v>118</v>
      </c>
      <c r="B161" s="8" t="s">
        <v>135</v>
      </c>
      <c r="C161" s="5" t="str">
        <f>HYPERLINK("http://data.overheid.nl/data/dataset/recreatie-fietsroutes-netwerk-punten","RECREATIE.fietsroutes netwerk punten")</f>
        <v>RECREATIE.fietsroutes netwerk punten</v>
      </c>
      <c r="D161" s="8" t="s">
        <v>17</v>
      </c>
      <c r="E161" s="3" t="s">
        <v>19</v>
      </c>
      <c r="F161" s="2" t="s">
        <v>372</v>
      </c>
      <c r="G161" s="5" t="s">
        <v>145</v>
      </c>
      <c r="H161" s="8" t="s">
        <v>137</v>
      </c>
      <c r="I161" s="5" t="s">
        <v>22</v>
      </c>
      <c r="J161" s="4" t="s">
        <v>23</v>
      </c>
      <c r="K161" s="3" t="s">
        <v>19</v>
      </c>
      <c r="L161" s="8" t="s">
        <v>24</v>
      </c>
      <c r="M161" s="5" t="s">
        <v>25</v>
      </c>
      <c r="N161" s="2" t="s">
        <v>143</v>
      </c>
      <c r="O161" s="5">
        <v>6</v>
      </c>
      <c r="P161" s="2"/>
      <c r="Q161" s="5"/>
    </row>
    <row r="162" spans="1:17" ht="15.5">
      <c r="A162" s="5">
        <v>119</v>
      </c>
      <c r="B162" s="8" t="s">
        <v>135</v>
      </c>
      <c r="C162" s="5" t="str">
        <f>HYPERLINK("http://data.overheid.nl/data/dataset/recreatie-wandelroutes-ns","RECREATIE.wandelroutes NS")</f>
        <v>RECREATIE.wandelroutes NS</v>
      </c>
      <c r="D162" s="8" t="s">
        <v>17</v>
      </c>
      <c r="E162" s="3" t="s">
        <v>19</v>
      </c>
      <c r="F162" s="2" t="s">
        <v>372</v>
      </c>
      <c r="G162" s="5" t="s">
        <v>144</v>
      </c>
      <c r="H162" s="8" t="s">
        <v>137</v>
      </c>
      <c r="I162" s="5" t="s">
        <v>22</v>
      </c>
      <c r="J162" s="4" t="s">
        <v>23</v>
      </c>
      <c r="K162" s="3" t="s">
        <v>19</v>
      </c>
      <c r="L162" s="8" t="s">
        <v>24</v>
      </c>
      <c r="M162" s="5" t="s">
        <v>25</v>
      </c>
      <c r="N162" s="2" t="s">
        <v>143</v>
      </c>
      <c r="O162" s="5">
        <v>6</v>
      </c>
      <c r="P162" s="2"/>
      <c r="Q162" s="5"/>
    </row>
    <row r="163" spans="1:17" ht="15.5">
      <c r="A163" s="5">
        <v>120</v>
      </c>
      <c r="B163" s="8" t="s">
        <v>135</v>
      </c>
      <c r="C163" s="5" t="str">
        <f>HYPERLINK("http://data.overheid.nl/data/dataset/recreatie-fietsroutes-netwerk-routes","RECREATIE.fietsroutes netwerk routes")</f>
        <v>RECREATIE.fietsroutes netwerk routes</v>
      </c>
      <c r="D163" s="8" t="s">
        <v>17</v>
      </c>
      <c r="E163" s="3" t="s">
        <v>19</v>
      </c>
      <c r="F163" s="2" t="s">
        <v>372</v>
      </c>
      <c r="G163" s="5" t="s">
        <v>145</v>
      </c>
      <c r="H163" s="8" t="s">
        <v>137</v>
      </c>
      <c r="I163" s="5" t="s">
        <v>22</v>
      </c>
      <c r="J163" s="4" t="s">
        <v>23</v>
      </c>
      <c r="K163" s="3" t="s">
        <v>19</v>
      </c>
      <c r="L163" s="8" t="s">
        <v>24</v>
      </c>
      <c r="M163" s="5" t="s">
        <v>25</v>
      </c>
      <c r="N163" s="2" t="s">
        <v>143</v>
      </c>
      <c r="O163" s="5">
        <v>6</v>
      </c>
      <c r="P163" s="2"/>
      <c r="Q163" s="5"/>
    </row>
    <row r="164" spans="1:17" ht="15.5">
      <c r="A164" s="5">
        <v>121</v>
      </c>
      <c r="B164" s="8" t="s">
        <v>135</v>
      </c>
      <c r="C164" s="5" t="str">
        <f>HYPERLINK("http://data.overheid.nl/data/dataset/ovl-provincie-utrecht","OVL Provincie Utrecht")</f>
        <v>OVL Provincie Utrecht</v>
      </c>
      <c r="D164" s="8" t="s">
        <v>17</v>
      </c>
      <c r="E164" s="3" t="s">
        <v>19</v>
      </c>
      <c r="F164" s="2" t="s">
        <v>372</v>
      </c>
      <c r="G164" s="5" t="s">
        <v>146</v>
      </c>
      <c r="H164" s="8" t="s">
        <v>147</v>
      </c>
      <c r="I164" s="5" t="s">
        <v>22</v>
      </c>
      <c r="J164" s="4" t="s">
        <v>23</v>
      </c>
      <c r="K164" s="3" t="s">
        <v>19</v>
      </c>
      <c r="L164" s="8" t="s">
        <v>24</v>
      </c>
      <c r="M164" s="5" t="s">
        <v>25</v>
      </c>
      <c r="N164" s="2" t="s">
        <v>143</v>
      </c>
      <c r="O164" s="5">
        <v>1</v>
      </c>
      <c r="P164" s="2"/>
      <c r="Q164" s="5"/>
    </row>
    <row r="165" spans="1:17" ht="124">
      <c r="A165" s="5">
        <v>122</v>
      </c>
      <c r="B165" s="8" t="s">
        <v>135</v>
      </c>
      <c r="C165" s="5" t="str">
        <f>HYPERLINK("http://data.overheid.nl/data/dataset/ov-knooppunten","OV knooppunten")</f>
        <v>OV knooppunten</v>
      </c>
      <c r="D165" s="8" t="s">
        <v>17</v>
      </c>
      <c r="E165" s="3" t="s">
        <v>19</v>
      </c>
      <c r="F165" s="2" t="s">
        <v>372</v>
      </c>
      <c r="G165" s="5" t="s">
        <v>138</v>
      </c>
      <c r="H165" s="8" t="s">
        <v>137</v>
      </c>
      <c r="I165" s="5" t="s">
        <v>22</v>
      </c>
      <c r="J165" s="4" t="s">
        <v>23</v>
      </c>
      <c r="K165" s="3" t="s">
        <v>19</v>
      </c>
      <c r="L165" s="8" t="s">
        <v>24</v>
      </c>
      <c r="M165" s="5" t="s">
        <v>25</v>
      </c>
      <c r="N165" s="2" t="s">
        <v>143</v>
      </c>
      <c r="O165" s="5">
        <v>6</v>
      </c>
      <c r="P165" s="2"/>
      <c r="Q165" s="5"/>
    </row>
    <row r="166" spans="1:17" ht="15.5">
      <c r="A166" s="5">
        <v>123</v>
      </c>
      <c r="B166" s="8" t="s">
        <v>135</v>
      </c>
      <c r="C166" s="5" t="str">
        <f>HYPERLINK("http://data.overheid.nl/data/dataset/ov-buslijnen","ov buslijnen")</f>
        <v>ov buslijnen</v>
      </c>
      <c r="D166" s="8" t="s">
        <v>17</v>
      </c>
      <c r="E166" s="3" t="s">
        <v>19</v>
      </c>
      <c r="F166" s="2" t="s">
        <v>372</v>
      </c>
      <c r="G166" s="5" t="s">
        <v>148</v>
      </c>
      <c r="H166" s="8" t="s">
        <v>137</v>
      </c>
      <c r="I166" s="5" t="s">
        <v>22</v>
      </c>
      <c r="J166" s="4" t="s">
        <v>23</v>
      </c>
      <c r="K166" s="3" t="s">
        <v>19</v>
      </c>
      <c r="L166" s="8" t="s">
        <v>24</v>
      </c>
      <c r="M166" s="5" t="s">
        <v>25</v>
      </c>
      <c r="N166" s="2" t="s">
        <v>143</v>
      </c>
      <c r="O166" s="5">
        <v>6</v>
      </c>
      <c r="P166" s="2"/>
      <c r="Q166" s="5"/>
    </row>
    <row r="167" spans="1:17" ht="31">
      <c r="A167" s="5">
        <v>124</v>
      </c>
      <c r="B167" s="8" t="s">
        <v>16</v>
      </c>
      <c r="C167" s="5" t="str">
        <f>HYPERLINK("http://data.overheid.nl/data/dataset/tekstpunten-behorend-bij-de-beheersgrensen-n-wegen","Tekstpunten behorend bij de beheersgrensen N-wegen")</f>
        <v>Tekstpunten behorend bij de beheersgrensen N-wegen</v>
      </c>
      <c r="D167" s="8" t="s">
        <v>17</v>
      </c>
      <c r="E167" s="5" t="s">
        <v>18</v>
      </c>
      <c r="F167" s="2" t="s">
        <v>372</v>
      </c>
      <c r="G167" s="5" t="s">
        <v>149</v>
      </c>
      <c r="H167" s="8" t="s">
        <v>21</v>
      </c>
      <c r="I167" s="5" t="s">
        <v>22</v>
      </c>
      <c r="J167" s="4" t="s">
        <v>23</v>
      </c>
      <c r="K167" s="3" t="s">
        <v>19</v>
      </c>
      <c r="L167" s="8" t="s">
        <v>24</v>
      </c>
      <c r="M167" s="5" t="s">
        <v>25</v>
      </c>
      <c r="N167" s="2" t="s">
        <v>26</v>
      </c>
      <c r="O167" s="5">
        <v>2</v>
      </c>
      <c r="P167" s="2"/>
      <c r="Q167" s="5"/>
    </row>
    <row r="168" spans="1:17" ht="46.5">
      <c r="A168" s="5">
        <v>129</v>
      </c>
      <c r="B168" s="8" t="s">
        <v>16</v>
      </c>
      <c r="C168" s="5" t="str">
        <f>HYPERLINK("http://data.overheid.nl/data/dataset/bordtype-verkeersborden-n-wegen","Bordtype verkeersborden N-wegen")</f>
        <v>Bordtype verkeersborden N-wegen</v>
      </c>
      <c r="D168" s="8" t="s">
        <v>17</v>
      </c>
      <c r="E168" s="5" t="s">
        <v>18</v>
      </c>
      <c r="F168" s="2" t="s">
        <v>372</v>
      </c>
      <c r="G168" s="5" t="s">
        <v>154</v>
      </c>
      <c r="H168" s="8" t="s">
        <v>21</v>
      </c>
      <c r="I168" s="5" t="s">
        <v>22</v>
      </c>
      <c r="J168" s="4" t="s">
        <v>23</v>
      </c>
      <c r="K168" s="3" t="s">
        <v>19</v>
      </c>
      <c r="L168" s="8" t="s">
        <v>24</v>
      </c>
      <c r="M168" s="5" t="s">
        <v>25</v>
      </c>
      <c r="N168" s="2" t="s">
        <v>26</v>
      </c>
      <c r="O168" s="5">
        <v>2</v>
      </c>
      <c r="P168" s="2"/>
      <c r="Q168" s="5"/>
    </row>
    <row r="169" spans="1:17" ht="46.5">
      <c r="A169" s="5">
        <v>130</v>
      </c>
      <c r="B169" s="8" t="s">
        <v>16</v>
      </c>
      <c r="C169" s="5" t="str">
        <f>HYPERLINK("http://data.overheid.nl/data/dataset/beschrijvende-informatie-van-de-wegmarkeringen","Beschrijvende informatie van de wegmarkeringen")</f>
        <v>Beschrijvende informatie van de wegmarkeringen</v>
      </c>
      <c r="D169" s="8" t="s">
        <v>17</v>
      </c>
      <c r="E169" s="5" t="s">
        <v>18</v>
      </c>
      <c r="F169" s="2" t="s">
        <v>372</v>
      </c>
      <c r="G169" s="5" t="s">
        <v>155</v>
      </c>
      <c r="H169" s="8" t="s">
        <v>21</v>
      </c>
      <c r="I169" s="5" t="s">
        <v>22</v>
      </c>
      <c r="J169" s="4" t="s">
        <v>23</v>
      </c>
      <c r="K169" s="3" t="s">
        <v>19</v>
      </c>
      <c r="L169" s="8" t="s">
        <v>24</v>
      </c>
      <c r="M169" s="5" t="s">
        <v>25</v>
      </c>
      <c r="N169" s="2" t="s">
        <v>26</v>
      </c>
      <c r="O169" s="5">
        <v>2</v>
      </c>
      <c r="P169" s="2"/>
      <c r="Q169" s="5"/>
    </row>
    <row r="170" spans="1:17" ht="62">
      <c r="A170" s="5">
        <v>131</v>
      </c>
      <c r="B170" s="8" t="s">
        <v>16</v>
      </c>
      <c r="C170" s="5" t="str">
        <f>HYPERLINK("http://data.overheid.nl/data/dataset/clusters-externe-veiligheid-a-g-v-gevaarlijk-transport-via-spoorwegen","Clusters externe veiligheid a.g.v. gevaarlijk transport via spoorwegen")</f>
        <v>Clusters externe veiligheid a.g.v. gevaarlijk transport via spoorwegen</v>
      </c>
      <c r="D170" s="8" t="s">
        <v>17</v>
      </c>
      <c r="E170" s="5" t="s">
        <v>18</v>
      </c>
      <c r="F170" s="2" t="s">
        <v>372</v>
      </c>
      <c r="G170" s="5" t="s">
        <v>156</v>
      </c>
      <c r="H170" s="8" t="s">
        <v>21</v>
      </c>
      <c r="I170" s="5" t="s">
        <v>22</v>
      </c>
      <c r="J170" s="4" t="s">
        <v>23</v>
      </c>
      <c r="K170" s="3" t="s">
        <v>19</v>
      </c>
      <c r="L170" s="8" t="s">
        <v>24</v>
      </c>
      <c r="M170" s="5" t="s">
        <v>25</v>
      </c>
      <c r="N170" s="2" t="s">
        <v>26</v>
      </c>
      <c r="O170" s="5">
        <v>2</v>
      </c>
      <c r="P170" s="2"/>
      <c r="Q170" s="5"/>
    </row>
    <row r="171" spans="1:17" ht="77.5">
      <c r="A171" s="5">
        <v>132</v>
      </c>
      <c r="B171" s="8" t="s">
        <v>16</v>
      </c>
      <c r="C171" s="5" t="str">
        <f>HYPERLINK("http://data.overheid.nl/data/dataset/gevoelige-bestemmingen-a-g-v-gevaarlijk-transport-via-spoorwegen","Gevoelige bestemmingen a.g.v. gevaarlijk transport via spoorwegen")</f>
        <v>Gevoelige bestemmingen a.g.v. gevaarlijk transport via spoorwegen</v>
      </c>
      <c r="D171" s="8" t="s">
        <v>17</v>
      </c>
      <c r="E171" s="5" t="s">
        <v>18</v>
      </c>
      <c r="F171" s="2" t="s">
        <v>372</v>
      </c>
      <c r="G171" s="5" t="s">
        <v>157</v>
      </c>
      <c r="H171" s="8" t="s">
        <v>21</v>
      </c>
      <c r="I171" s="5" t="s">
        <v>22</v>
      </c>
      <c r="J171" s="4" t="s">
        <v>23</v>
      </c>
      <c r="K171" s="3" t="s">
        <v>19</v>
      </c>
      <c r="L171" s="8" t="s">
        <v>24</v>
      </c>
      <c r="M171" s="5" t="s">
        <v>25</v>
      </c>
      <c r="N171" s="2" t="s">
        <v>26</v>
      </c>
      <c r="O171" s="5">
        <v>2</v>
      </c>
      <c r="P171" s="2"/>
      <c r="Q171" s="5"/>
    </row>
    <row r="172" spans="1:17" ht="93">
      <c r="A172" s="5">
        <v>133</v>
      </c>
      <c r="B172" s="8" t="s">
        <v>16</v>
      </c>
      <c r="C172" s="5" t="str">
        <f>HYPERLINK("http://data.overheid.nl/data/dataset/ges-cont-externe-veiligheid-a-g-v-gevaarlijk-transport-via-spoor","GES-cont. externe veiligheid a.g.v. gevaarlijk transport via spoor")</f>
        <v>GES-cont. externe veiligheid a.g.v. gevaarlijk transport via spoor</v>
      </c>
      <c r="D172" s="8" t="s">
        <v>17</v>
      </c>
      <c r="E172" s="5" t="s">
        <v>18</v>
      </c>
      <c r="F172" s="2" t="s">
        <v>372</v>
      </c>
      <c r="G172" s="5" t="s">
        <v>158</v>
      </c>
      <c r="H172" s="8" t="s">
        <v>21</v>
      </c>
      <c r="I172" s="5" t="s">
        <v>22</v>
      </c>
      <c r="J172" s="4" t="s">
        <v>23</v>
      </c>
      <c r="K172" s="3" t="s">
        <v>19</v>
      </c>
      <c r="L172" s="8" t="s">
        <v>24</v>
      </c>
      <c r="M172" s="5" t="s">
        <v>25</v>
      </c>
      <c r="N172" s="2" t="s">
        <v>26</v>
      </c>
      <c r="O172" s="5">
        <v>2</v>
      </c>
      <c r="P172" s="2"/>
      <c r="Q172" s="5"/>
    </row>
    <row r="173" spans="1:17" ht="93">
      <c r="A173" s="5">
        <v>134</v>
      </c>
      <c r="B173" s="8" t="s">
        <v>16</v>
      </c>
      <c r="C173" s="5" t="str">
        <f>HYPERLINK("http://data.overheid.nl/data/dataset/ges-cont-externe-veiligheid-a-g-v-gev-transport-langs-wegen","GES-cont. externe veiligheid a.g.v. gev. transport langs wegen")</f>
        <v>GES-cont. externe veiligheid a.g.v. gev. transport langs wegen</v>
      </c>
      <c r="D173" s="8" t="s">
        <v>17</v>
      </c>
      <c r="E173" s="5" t="s">
        <v>18</v>
      </c>
      <c r="F173" s="2" t="s">
        <v>372</v>
      </c>
      <c r="G173" s="5" t="s">
        <v>159</v>
      </c>
      <c r="H173" s="8" t="s">
        <v>21</v>
      </c>
      <c r="I173" s="5" t="s">
        <v>22</v>
      </c>
      <c r="J173" s="4" t="s">
        <v>23</v>
      </c>
      <c r="K173" s="3" t="s">
        <v>19</v>
      </c>
      <c r="L173" s="8" t="s">
        <v>24</v>
      </c>
      <c r="M173" s="5" t="s">
        <v>25</v>
      </c>
      <c r="N173" s="2" t="s">
        <v>26</v>
      </c>
      <c r="O173" s="5">
        <v>2</v>
      </c>
      <c r="P173" s="2"/>
      <c r="Q173" s="5"/>
    </row>
    <row r="174" spans="1:17" ht="77.5">
      <c r="A174" s="5">
        <v>135</v>
      </c>
      <c r="B174" s="8" t="s">
        <v>16</v>
      </c>
      <c r="C174" s="5" t="str">
        <f>HYPERLINK("http://data.overheid.nl/data/dataset/belaste-woningen-a-g-v-gevaarlijk-transport-via-spoorwegen","Belaste woningen a.g.v. gevaarlijk transport via spoorwegen")</f>
        <v>Belaste woningen a.g.v. gevaarlijk transport via spoorwegen</v>
      </c>
      <c r="D174" s="8" t="s">
        <v>17</v>
      </c>
      <c r="E174" s="5" t="s">
        <v>18</v>
      </c>
      <c r="F174" s="2" t="s">
        <v>372</v>
      </c>
      <c r="G174" s="5" t="s">
        <v>160</v>
      </c>
      <c r="H174" s="8" t="s">
        <v>21</v>
      </c>
      <c r="I174" s="5" t="s">
        <v>22</v>
      </c>
      <c r="J174" s="4" t="s">
        <v>23</v>
      </c>
      <c r="K174" s="3" t="s">
        <v>19</v>
      </c>
      <c r="L174" s="8" t="s">
        <v>24</v>
      </c>
      <c r="M174" s="5" t="s">
        <v>25</v>
      </c>
      <c r="N174" s="2" t="s">
        <v>26</v>
      </c>
      <c r="O174" s="5">
        <v>2</v>
      </c>
      <c r="P174" s="2"/>
      <c r="Q174" s="5"/>
    </row>
    <row r="175" spans="1:17" ht="77.5">
      <c r="A175" s="5">
        <v>136</v>
      </c>
      <c r="B175" s="8" t="s">
        <v>16</v>
      </c>
      <c r="C175" s="5" t="str">
        <f>HYPERLINK("http://data.overheid.nl/data/dataset/belaste-woningen-a-g-v-gevaarlijk-transport-langs-wegen","Belaste woningen a.g.v. gevaarlijk transport langs wegen")</f>
        <v>Belaste woningen a.g.v. gevaarlijk transport langs wegen</v>
      </c>
      <c r="D175" s="8" t="s">
        <v>17</v>
      </c>
      <c r="E175" s="5" t="s">
        <v>18</v>
      </c>
      <c r="F175" s="2" t="s">
        <v>372</v>
      </c>
      <c r="G175" s="5" t="s">
        <v>161</v>
      </c>
      <c r="H175" s="8" t="s">
        <v>21</v>
      </c>
      <c r="I175" s="5" t="s">
        <v>22</v>
      </c>
      <c r="J175" s="4" t="s">
        <v>23</v>
      </c>
      <c r="K175" s="3" t="s">
        <v>19</v>
      </c>
      <c r="L175" s="8" t="s">
        <v>24</v>
      </c>
      <c r="M175" s="5" t="s">
        <v>25</v>
      </c>
      <c r="N175" s="2" t="s">
        <v>26</v>
      </c>
      <c r="O175" s="5">
        <v>2</v>
      </c>
      <c r="P175" s="2"/>
      <c r="Q175" s="5"/>
    </row>
    <row r="176" spans="1:17" ht="62">
      <c r="A176" s="5">
        <v>137</v>
      </c>
      <c r="B176" s="8" t="s">
        <v>16</v>
      </c>
      <c r="C176" s="5" t="str">
        <f>HYPERLINK("http://data.overheid.nl/data/dataset/clusters-externe-veiligheid-a-g-v-gevaarlijk-transport-langs-wegen","Clusters externe veiligheid a.g.v. gevaarlijk transport langs wegen")</f>
        <v>Clusters externe veiligheid a.g.v. gevaarlijk transport langs wegen</v>
      </c>
      <c r="D176" s="8" t="s">
        <v>17</v>
      </c>
      <c r="E176" s="5" t="s">
        <v>18</v>
      </c>
      <c r="F176" s="2" t="s">
        <v>372</v>
      </c>
      <c r="G176" s="5" t="s">
        <v>162</v>
      </c>
      <c r="H176" s="8" t="s">
        <v>21</v>
      </c>
      <c r="I176" s="5" t="s">
        <v>22</v>
      </c>
      <c r="J176" s="4" t="s">
        <v>23</v>
      </c>
      <c r="K176" s="3" t="s">
        <v>19</v>
      </c>
      <c r="L176" s="8" t="s">
        <v>24</v>
      </c>
      <c r="M176" s="5" t="s">
        <v>25</v>
      </c>
      <c r="N176" s="2" t="s">
        <v>26</v>
      </c>
      <c r="O176" s="5">
        <v>2</v>
      </c>
      <c r="P176" s="2"/>
      <c r="Q176" s="5"/>
    </row>
    <row r="177" spans="1:17" ht="15.5">
      <c r="A177" s="5">
        <v>139</v>
      </c>
      <c r="B177" s="8" t="s">
        <v>16</v>
      </c>
      <c r="C177" s="5" t="str">
        <f>HYPERLINK("http://data.overheid.nl/data/dataset/landschapsverordening-toepassingsgebied","Landschapsverordening toepassingsgebied")</f>
        <v>Landschapsverordening toepassingsgebied</v>
      </c>
      <c r="D177" s="8" t="s">
        <v>17</v>
      </c>
      <c r="E177" s="5" t="s">
        <v>18</v>
      </c>
      <c r="F177" s="2" t="s">
        <v>372</v>
      </c>
      <c r="G177" s="5" t="s">
        <v>164</v>
      </c>
      <c r="H177" s="8" t="s">
        <v>21</v>
      </c>
      <c r="I177" s="5" t="s">
        <v>22</v>
      </c>
      <c r="J177" s="4" t="s">
        <v>23</v>
      </c>
      <c r="K177" s="3" t="s">
        <v>19</v>
      </c>
      <c r="L177" s="8" t="s">
        <v>24</v>
      </c>
      <c r="M177" s="5" t="s">
        <v>25</v>
      </c>
      <c r="N177" s="2" t="s">
        <v>26</v>
      </c>
      <c r="O177" s="5">
        <v>2</v>
      </c>
      <c r="P177" s="2"/>
      <c r="Q177" s="5"/>
    </row>
    <row r="178" spans="1:17" ht="31">
      <c r="A178" s="5">
        <v>140</v>
      </c>
      <c r="B178" s="8" t="s">
        <v>16</v>
      </c>
      <c r="C178" s="5" t="str">
        <f>HYPERLINK("http://data.overheid.nl/data/dataset/geluidsschermen","Geluidsschermen")</f>
        <v>Geluidsschermen</v>
      </c>
      <c r="D178" s="8" t="s">
        <v>17</v>
      </c>
      <c r="E178" s="5" t="s">
        <v>18</v>
      </c>
      <c r="F178" s="2" t="s">
        <v>372</v>
      </c>
      <c r="G178" s="5" t="s">
        <v>165</v>
      </c>
      <c r="H178" s="8" t="s">
        <v>21</v>
      </c>
      <c r="I178" s="5" t="s">
        <v>22</v>
      </c>
      <c r="J178" s="4" t="s">
        <v>23</v>
      </c>
      <c r="K178" s="3" t="s">
        <v>19</v>
      </c>
      <c r="L178" s="8" t="s">
        <v>24</v>
      </c>
      <c r="M178" s="5" t="s">
        <v>25</v>
      </c>
      <c r="N178" s="2" t="s">
        <v>26</v>
      </c>
      <c r="O178" s="5">
        <v>2</v>
      </c>
      <c r="P178" s="2"/>
      <c r="Q178" s="5"/>
    </row>
    <row r="179" spans="1:17" ht="139.5">
      <c r="A179" s="5">
        <v>141</v>
      </c>
      <c r="B179" s="8" t="s">
        <v>16</v>
      </c>
      <c r="C179" s="5" t="str">
        <f>HYPERLINK("http://data.overheid.nl/data/dataset/aardkundige-waarden-01-02-03-04","Aardkundige waarden")</f>
        <v>Aardkundige waarden</v>
      </c>
      <c r="D179" s="8" t="s">
        <v>17</v>
      </c>
      <c r="E179" s="5" t="s">
        <v>18</v>
      </c>
      <c r="F179" s="2" t="s">
        <v>372</v>
      </c>
      <c r="G179" s="5" t="s">
        <v>166</v>
      </c>
      <c r="H179" s="8" t="s">
        <v>21</v>
      </c>
      <c r="I179" s="5" t="s">
        <v>22</v>
      </c>
      <c r="J179" s="4" t="s">
        <v>23</v>
      </c>
      <c r="K179" s="3" t="s">
        <v>19</v>
      </c>
      <c r="L179" s="8" t="s">
        <v>24</v>
      </c>
      <c r="M179" s="5" t="s">
        <v>25</v>
      </c>
      <c r="N179" s="2" t="s">
        <v>26</v>
      </c>
      <c r="O179" s="5">
        <v>2</v>
      </c>
      <c r="P179" s="2"/>
      <c r="Q179" s="5"/>
    </row>
    <row r="180" spans="1:17" ht="31">
      <c r="A180" s="5">
        <v>142</v>
      </c>
      <c r="B180" s="8" t="s">
        <v>16</v>
      </c>
      <c r="C180" s="5" t="str">
        <f>HYPERLINK("http://data.overheid.nl/data/dataset/chat-historische-begrenzing","CHAT - historische begrenzing")</f>
        <v>CHAT - historische begrenzing</v>
      </c>
      <c r="D180" s="8" t="s">
        <v>17</v>
      </c>
      <c r="E180" s="5" t="s">
        <v>18</v>
      </c>
      <c r="F180" s="2" t="s">
        <v>372</v>
      </c>
      <c r="G180" s="5" t="s">
        <v>167</v>
      </c>
      <c r="H180" s="8" t="s">
        <v>21</v>
      </c>
      <c r="I180" s="5" t="s">
        <v>22</v>
      </c>
      <c r="J180" s="4" t="s">
        <v>23</v>
      </c>
      <c r="K180" s="3" t="s">
        <v>19</v>
      </c>
      <c r="L180" s="8" t="s">
        <v>24</v>
      </c>
      <c r="M180" s="5" t="s">
        <v>25</v>
      </c>
      <c r="N180" s="2" t="s">
        <v>26</v>
      </c>
      <c r="O180" s="5">
        <v>6</v>
      </c>
      <c r="P180" s="2"/>
      <c r="Q180" s="5"/>
    </row>
    <row r="181" spans="1:17" ht="62">
      <c r="A181" s="5">
        <v>143</v>
      </c>
      <c r="B181" s="8" t="s">
        <v>16</v>
      </c>
      <c r="C181" s="5" t="str">
        <f>HYPERLINK("http://data.overheid.nl/data/dataset/belaste-woningen-geur-veehouderijen","Belaste woningen geur - veehouderijen")</f>
        <v>Belaste woningen geur - veehouderijen</v>
      </c>
      <c r="D181" s="8" t="s">
        <v>17</v>
      </c>
      <c r="E181" s="5" t="s">
        <v>18</v>
      </c>
      <c r="F181" s="2" t="s">
        <v>372</v>
      </c>
      <c r="G181" s="5" t="s">
        <v>168</v>
      </c>
      <c r="H181" s="8" t="s">
        <v>21</v>
      </c>
      <c r="I181" s="5" t="s">
        <v>22</v>
      </c>
      <c r="J181" s="4" t="s">
        <v>23</v>
      </c>
      <c r="K181" s="3" t="s">
        <v>19</v>
      </c>
      <c r="L181" s="8" t="s">
        <v>24</v>
      </c>
      <c r="M181" s="5" t="s">
        <v>25</v>
      </c>
      <c r="N181" s="2" t="s">
        <v>26</v>
      </c>
      <c r="O181" s="5">
        <v>2</v>
      </c>
      <c r="P181" s="2"/>
      <c r="Q181" s="5"/>
    </row>
    <row r="182" spans="1:17" ht="62">
      <c r="A182" s="5">
        <v>144</v>
      </c>
      <c r="B182" s="8" t="s">
        <v>16</v>
      </c>
      <c r="C182" s="5" t="str">
        <f>HYPERLINK("http://data.overheid.nl/data/dataset/clusters-geur-industriele-bedrijven","clusters geur - industriele bedrijven")</f>
        <v>clusters geur - industriele bedrijven</v>
      </c>
      <c r="D182" s="8" t="s">
        <v>17</v>
      </c>
      <c r="E182" s="5" t="s">
        <v>18</v>
      </c>
      <c r="F182" s="2" t="s">
        <v>372</v>
      </c>
      <c r="G182" s="5" t="s">
        <v>169</v>
      </c>
      <c r="H182" s="8" t="s">
        <v>21</v>
      </c>
      <c r="I182" s="5" t="s">
        <v>22</v>
      </c>
      <c r="J182" s="4" t="s">
        <v>23</v>
      </c>
      <c r="K182" s="3" t="s">
        <v>19</v>
      </c>
      <c r="L182" s="8" t="s">
        <v>24</v>
      </c>
      <c r="M182" s="5" t="s">
        <v>25</v>
      </c>
      <c r="N182" s="2" t="s">
        <v>26</v>
      </c>
      <c r="O182" s="5">
        <v>2</v>
      </c>
      <c r="P182" s="2"/>
      <c r="Q182" s="5"/>
    </row>
    <row r="183" spans="1:17" ht="15.5">
      <c r="A183" s="5">
        <v>145</v>
      </c>
      <c r="B183" s="8" t="s">
        <v>16</v>
      </c>
      <c r="C183" s="5" t="str">
        <f>HYPERLINK("http://data.overheid.nl/data/dataset/waardevolle-natuur-buiten-ehs-en-groene-contour","Waardevolle natuur buiten EHS en groene contour")</f>
        <v>Waardevolle natuur buiten EHS en groene contour</v>
      </c>
      <c r="D183" s="8" t="s">
        <v>17</v>
      </c>
      <c r="E183" s="5" t="s">
        <v>18</v>
      </c>
      <c r="F183" s="2" t="s">
        <v>372</v>
      </c>
      <c r="G183" s="5" t="s">
        <v>170</v>
      </c>
      <c r="H183" s="8" t="s">
        <v>21</v>
      </c>
      <c r="I183" s="5" t="s">
        <v>22</v>
      </c>
      <c r="J183" s="4" t="s">
        <v>23</v>
      </c>
      <c r="K183" s="3" t="s">
        <v>19</v>
      </c>
      <c r="L183" s="8" t="s">
        <v>24</v>
      </c>
      <c r="M183" s="5" t="s">
        <v>25</v>
      </c>
      <c r="N183" s="2" t="s">
        <v>26</v>
      </c>
      <c r="O183" s="5">
        <v>2</v>
      </c>
      <c r="P183" s="2"/>
      <c r="Q183" s="5"/>
    </row>
    <row r="184" spans="1:17" ht="46.5">
      <c r="A184" s="5">
        <v>147</v>
      </c>
      <c r="B184" s="8" t="s">
        <v>16</v>
      </c>
      <c r="C184" s="5" t="str">
        <f>HYPERLINK("http://data.overheid.nl/data/dataset/geluidscontouren-lden-provinciaal-verkeers-milieu-model","Geluidscontouren Lden Provinciaal Verkeers Milieu Model")</f>
        <v>Geluidscontouren Lden Provinciaal Verkeers Milieu Model</v>
      </c>
      <c r="D184" s="8" t="s">
        <v>17</v>
      </c>
      <c r="E184" s="5" t="s">
        <v>18</v>
      </c>
      <c r="F184" s="2" t="s">
        <v>372</v>
      </c>
      <c r="G184" s="5" t="s">
        <v>172</v>
      </c>
      <c r="H184" s="8" t="s">
        <v>21</v>
      </c>
      <c r="I184" s="5" t="s">
        <v>22</v>
      </c>
      <c r="J184" s="4" t="s">
        <v>23</v>
      </c>
      <c r="K184" s="3" t="s">
        <v>19</v>
      </c>
      <c r="L184" s="8" t="s">
        <v>24</v>
      </c>
      <c r="M184" s="5" t="s">
        <v>25</v>
      </c>
      <c r="N184" s="2" t="s">
        <v>26</v>
      </c>
      <c r="O184" s="5">
        <v>2</v>
      </c>
      <c r="P184" s="2"/>
      <c r="Q184" s="5"/>
    </row>
    <row r="185" spans="1:17" ht="46.5">
      <c r="A185" s="5">
        <v>148</v>
      </c>
      <c r="B185" s="8" t="s">
        <v>16</v>
      </c>
      <c r="C185" s="5" t="str">
        <f>HYPERLINK("http://data.overheid.nl/data/dataset/geluidscontouren-lnig-provinciaal-verkeers-milieu-model","Geluidscontouren Lnig Provinciaal Verkeers Milieu Model")</f>
        <v>Geluidscontouren Lnig Provinciaal Verkeers Milieu Model</v>
      </c>
      <c r="D185" s="8" t="s">
        <v>17</v>
      </c>
      <c r="E185" s="5" t="s">
        <v>18</v>
      </c>
      <c r="F185" s="2" t="s">
        <v>372</v>
      </c>
      <c r="G185" s="5" t="s">
        <v>173</v>
      </c>
      <c r="H185" s="8" t="s">
        <v>21</v>
      </c>
      <c r="I185" s="5" t="s">
        <v>22</v>
      </c>
      <c r="J185" s="4" t="s">
        <v>23</v>
      </c>
      <c r="K185" s="3" t="s">
        <v>19</v>
      </c>
      <c r="L185" s="8" t="s">
        <v>24</v>
      </c>
      <c r="M185" s="5" t="s">
        <v>25</v>
      </c>
      <c r="N185" s="2" t="s">
        <v>26</v>
      </c>
      <c r="O185" s="5">
        <v>2</v>
      </c>
      <c r="P185" s="2"/>
      <c r="Q185" s="5"/>
    </row>
    <row r="186" spans="1:17" ht="15.5">
      <c r="A186" s="5">
        <v>149</v>
      </c>
      <c r="B186" s="8" t="s">
        <v>16</v>
      </c>
      <c r="C186" s="5" t="str">
        <f>HYPERLINK("http://data.overheid.nl/data/dataset/waterplan-2010-2015-risico-bij-dijkdoorbraak","Waterplan 2010 - 2015 - Risico bij dijkdoorbraak")</f>
        <v>Waterplan 2010 - 2015 - Risico bij dijkdoorbraak</v>
      </c>
      <c r="D186" s="8" t="s">
        <v>17</v>
      </c>
      <c r="E186" s="5" t="s">
        <v>18</v>
      </c>
      <c r="F186" s="2" t="s">
        <v>372</v>
      </c>
      <c r="G186" s="5" t="s">
        <v>174</v>
      </c>
      <c r="H186" s="8" t="s">
        <v>21</v>
      </c>
      <c r="I186" s="5" t="s">
        <v>22</v>
      </c>
      <c r="J186" s="4" t="s">
        <v>23</v>
      </c>
      <c r="K186" s="3" t="s">
        <v>19</v>
      </c>
      <c r="L186" s="8" t="s">
        <v>24</v>
      </c>
      <c r="M186" s="5" t="s">
        <v>25</v>
      </c>
      <c r="N186" s="2" t="s">
        <v>26</v>
      </c>
      <c r="O186" s="5">
        <v>2</v>
      </c>
      <c r="P186" s="2"/>
      <c r="Q186" s="5"/>
    </row>
    <row r="187" spans="1:17" ht="31">
      <c r="A187" s="5">
        <v>150</v>
      </c>
      <c r="B187" s="8" t="s">
        <v>16</v>
      </c>
      <c r="C187" s="5" t="str">
        <f>HYPERLINK("http://data.overheid.nl/data/dataset/waardenkaart-vrijstelling-dempingen","Waardenkaart vrijstelling dempingen")</f>
        <v>Waardenkaart vrijstelling dempingen</v>
      </c>
      <c r="D187" s="8" t="s">
        <v>17</v>
      </c>
      <c r="E187" s="5" t="s">
        <v>18</v>
      </c>
      <c r="F187" s="2" t="s">
        <v>372</v>
      </c>
      <c r="G187" s="5" t="s">
        <v>175</v>
      </c>
      <c r="H187" s="8" t="s">
        <v>21</v>
      </c>
      <c r="I187" s="5" t="s">
        <v>22</v>
      </c>
      <c r="J187" s="4" t="s">
        <v>23</v>
      </c>
      <c r="K187" s="3" t="s">
        <v>19</v>
      </c>
      <c r="L187" s="8" t="s">
        <v>24</v>
      </c>
      <c r="M187" s="5" t="s">
        <v>25</v>
      </c>
      <c r="N187" s="2" t="s">
        <v>26</v>
      </c>
      <c r="O187" s="5">
        <v>2</v>
      </c>
      <c r="P187" s="2"/>
      <c r="Q187" s="5"/>
    </row>
    <row r="188" spans="1:17" ht="77.5">
      <c r="A188" s="5">
        <v>151</v>
      </c>
      <c r="B188" s="8" t="s">
        <v>16</v>
      </c>
      <c r="C188" s="5" t="str">
        <f>HYPERLINK("http://data.overheid.nl/data/dataset/natuurbeheerplan-2015-beheergebied","Natuurbeheerplan 2015 - Beheergebied")</f>
        <v>Natuurbeheerplan 2015 - Beheergebied</v>
      </c>
      <c r="D188" s="8" t="s">
        <v>17</v>
      </c>
      <c r="E188" s="5" t="s">
        <v>18</v>
      </c>
      <c r="F188" s="2" t="s">
        <v>372</v>
      </c>
      <c r="G188" s="5" t="s">
        <v>176</v>
      </c>
      <c r="H188" s="8" t="s">
        <v>21</v>
      </c>
      <c r="I188" s="5" t="s">
        <v>22</v>
      </c>
      <c r="J188" s="4" t="s">
        <v>23</v>
      </c>
      <c r="K188" s="3" t="s">
        <v>19</v>
      </c>
      <c r="L188" s="8" t="s">
        <v>24</v>
      </c>
      <c r="M188" s="5" t="s">
        <v>25</v>
      </c>
      <c r="N188" s="2" t="s">
        <v>26</v>
      </c>
      <c r="O188" s="5">
        <v>2</v>
      </c>
      <c r="P188" s="2"/>
      <c r="Q188" s="5"/>
    </row>
    <row r="189" spans="1:17" ht="46.5">
      <c r="A189" s="5">
        <v>152</v>
      </c>
      <c r="B189" s="8" t="s">
        <v>16</v>
      </c>
      <c r="C189" s="5" t="str">
        <f>HYPERLINK("http://data.overheid.nl/data/dataset/natuurbeheerplan-2015-begrenzing-natuur","Natuurbeheerplan 2015 - begrenzing natuur")</f>
        <v>Natuurbeheerplan 2015 - begrenzing natuur</v>
      </c>
      <c r="D189" s="8" t="s">
        <v>17</v>
      </c>
      <c r="E189" s="5" t="s">
        <v>18</v>
      </c>
      <c r="F189" s="2" t="s">
        <v>372</v>
      </c>
      <c r="G189" s="5" t="s">
        <v>177</v>
      </c>
      <c r="H189" s="8" t="s">
        <v>21</v>
      </c>
      <c r="I189" s="5" t="s">
        <v>22</v>
      </c>
      <c r="J189" s="4" t="s">
        <v>23</v>
      </c>
      <c r="K189" s="3" t="s">
        <v>19</v>
      </c>
      <c r="L189" s="8" t="s">
        <v>24</v>
      </c>
      <c r="M189" s="5" t="s">
        <v>25</v>
      </c>
      <c r="N189" s="2" t="s">
        <v>26</v>
      </c>
      <c r="O189" s="5">
        <v>2</v>
      </c>
      <c r="P189" s="2"/>
      <c r="Q189" s="5"/>
    </row>
    <row r="190" spans="1:17" ht="15.5">
      <c r="A190" s="5">
        <v>153</v>
      </c>
      <c r="B190" s="8" t="s">
        <v>16</v>
      </c>
      <c r="C190" s="5" t="str">
        <f>HYPERLINK("http://data.overheid.nl/data/dataset/plancapaciteit-kantorenterreinen","Plancapaciteit kantorenterreinen")</f>
        <v>Plancapaciteit kantorenterreinen</v>
      </c>
      <c r="D190" s="8" t="s">
        <v>17</v>
      </c>
      <c r="E190" s="5" t="s">
        <v>18</v>
      </c>
      <c r="F190" s="2" t="s">
        <v>372</v>
      </c>
      <c r="G190" s="5" t="s">
        <v>178</v>
      </c>
      <c r="H190" s="8" t="s">
        <v>21</v>
      </c>
      <c r="I190" s="5" t="s">
        <v>22</v>
      </c>
      <c r="J190" s="4" t="s">
        <v>23</v>
      </c>
      <c r="K190" s="3" t="s">
        <v>19</v>
      </c>
      <c r="L190" s="8" t="s">
        <v>24</v>
      </c>
      <c r="M190" s="5" t="s">
        <v>25</v>
      </c>
      <c r="N190" s="2" t="s">
        <v>26</v>
      </c>
      <c r="O190" s="5">
        <v>2</v>
      </c>
      <c r="P190" s="2"/>
      <c r="Q190" s="5"/>
    </row>
    <row r="191" spans="1:17" ht="139.5">
      <c r="A191" s="5">
        <v>154</v>
      </c>
      <c r="B191" s="8" t="s">
        <v>16</v>
      </c>
      <c r="C191" s="5" t="str">
        <f>HYPERLINK("http://data.overheid.nl/data/dataset/signaleringskaart-ext-veiligheid-transp-en-plasbrandaandachtsgebied-spoor","Signaleringskaart ext. veiligheid transp. en plasbrandaandachtsgebied spoor")</f>
        <v>Signaleringskaart ext. veiligheid transp. en plasbrandaandachtsgebied spoor</v>
      </c>
      <c r="D191" s="8" t="s">
        <v>17</v>
      </c>
      <c r="E191" s="5" t="s">
        <v>18</v>
      </c>
      <c r="F191" s="2" t="s">
        <v>372</v>
      </c>
      <c r="G191" s="5" t="s">
        <v>179</v>
      </c>
      <c r="H191" s="8" t="s">
        <v>21</v>
      </c>
      <c r="I191" s="5" t="s">
        <v>22</v>
      </c>
      <c r="J191" s="4" t="s">
        <v>23</v>
      </c>
      <c r="K191" s="3" t="s">
        <v>19</v>
      </c>
      <c r="L191" s="8" t="s">
        <v>24</v>
      </c>
      <c r="M191" s="5" t="s">
        <v>25</v>
      </c>
      <c r="N191" s="2" t="s">
        <v>26</v>
      </c>
      <c r="O191" s="5">
        <v>2</v>
      </c>
      <c r="P191" s="2"/>
      <c r="Q191" s="5"/>
    </row>
    <row r="192" spans="1:17" ht="31">
      <c r="A192" s="5">
        <v>155</v>
      </c>
      <c r="B192" s="8" t="s">
        <v>16</v>
      </c>
      <c r="C192" s="5" t="str">
        <f>HYPERLINK("http://data.overheid.nl/data/dataset/routering-provincie-utrecht","Routering provincie Utrecht")</f>
        <v>Routering provincie Utrecht</v>
      </c>
      <c r="D192" s="8" t="s">
        <v>17</v>
      </c>
      <c r="E192" s="5" t="s">
        <v>18</v>
      </c>
      <c r="F192" s="2" t="s">
        <v>372</v>
      </c>
      <c r="G192" s="5" t="s">
        <v>180</v>
      </c>
      <c r="H192" s="8" t="s">
        <v>21</v>
      </c>
      <c r="I192" s="5" t="s">
        <v>22</v>
      </c>
      <c r="J192" s="4" t="s">
        <v>23</v>
      </c>
      <c r="K192" s="3" t="s">
        <v>19</v>
      </c>
      <c r="L192" s="8" t="s">
        <v>24</v>
      </c>
      <c r="M192" s="5" t="s">
        <v>25</v>
      </c>
      <c r="N192" s="2" t="s">
        <v>26</v>
      </c>
      <c r="O192" s="5">
        <v>2</v>
      </c>
      <c r="P192" s="2"/>
      <c r="Q192" s="5"/>
    </row>
    <row r="193" spans="1:17" ht="108.5">
      <c r="A193" s="5">
        <v>156</v>
      </c>
      <c r="B193" s="8" t="s">
        <v>16</v>
      </c>
      <c r="C193" s="5" t="str">
        <f>HYPERLINK("http://data.overheid.nl/data/dataset/grondwatertrappen-veengebieden","Grondwatertrappen veengebieden")</f>
        <v>Grondwatertrappen veengebieden</v>
      </c>
      <c r="D193" s="8" t="s">
        <v>17</v>
      </c>
      <c r="E193" s="5" t="s">
        <v>18</v>
      </c>
      <c r="F193" s="2" t="s">
        <v>372</v>
      </c>
      <c r="G193" s="5" t="s">
        <v>181</v>
      </c>
      <c r="H193" s="8" t="s">
        <v>21</v>
      </c>
      <c r="I193" s="5" t="s">
        <v>22</v>
      </c>
      <c r="J193" s="4" t="s">
        <v>23</v>
      </c>
      <c r="K193" s="3" t="s">
        <v>19</v>
      </c>
      <c r="L193" s="8" t="s">
        <v>24</v>
      </c>
      <c r="M193" s="5" t="s">
        <v>25</v>
      </c>
      <c r="N193" s="2" t="s">
        <v>26</v>
      </c>
      <c r="O193" s="5">
        <v>2</v>
      </c>
      <c r="P193" s="2"/>
      <c r="Q193" s="5"/>
    </row>
    <row r="194" spans="1:17" ht="325.5">
      <c r="A194" s="5">
        <v>157</v>
      </c>
      <c r="B194" s="8" t="s">
        <v>16</v>
      </c>
      <c r="C194" s="5" t="str">
        <f>HYPERLINK("http://data.overheid.nl/data/dataset/cultuurhistorische-atlas-provincie-utrecht-chat-punten","Cultuurhistorische Atlas Provincie Utrecht (CHAT) - punten")</f>
        <v>Cultuurhistorische Atlas Provincie Utrecht (CHAT) - punten</v>
      </c>
      <c r="D194" s="8" t="s">
        <v>17</v>
      </c>
      <c r="E194" s="5" t="s">
        <v>18</v>
      </c>
      <c r="F194" s="2" t="s">
        <v>372</v>
      </c>
      <c r="G194" s="5" t="s">
        <v>182</v>
      </c>
      <c r="H194" s="8" t="s">
        <v>21</v>
      </c>
      <c r="I194" s="5" t="s">
        <v>22</v>
      </c>
      <c r="J194" s="4" t="s">
        <v>23</v>
      </c>
      <c r="K194" s="3" t="s">
        <v>19</v>
      </c>
      <c r="L194" s="8" t="s">
        <v>24</v>
      </c>
      <c r="M194" s="5" t="s">
        <v>25</v>
      </c>
      <c r="N194" s="2" t="s">
        <v>26</v>
      </c>
      <c r="O194" s="5">
        <v>6</v>
      </c>
      <c r="P194" s="2"/>
      <c r="Q194" s="5"/>
    </row>
    <row r="195" spans="1:17" ht="325.5">
      <c r="A195" s="5">
        <v>158</v>
      </c>
      <c r="B195" s="8" t="s">
        <v>16</v>
      </c>
      <c r="C195" s="5" t="str">
        <f>HYPERLINK("http://data.overheid.nl/data/dataset/cultuurhistorische-atlas-provincie-utrecht-chat-lijnen","Cultuurhistorische Atlas Provincie Utrecht (CHAT) - lijnen")</f>
        <v>Cultuurhistorische Atlas Provincie Utrecht (CHAT) - lijnen</v>
      </c>
      <c r="D195" s="8" t="s">
        <v>17</v>
      </c>
      <c r="E195" s="5" t="s">
        <v>18</v>
      </c>
      <c r="F195" s="2" t="s">
        <v>372</v>
      </c>
      <c r="G195" s="5" t="s">
        <v>182</v>
      </c>
      <c r="H195" s="8" t="s">
        <v>21</v>
      </c>
      <c r="I195" s="5" t="s">
        <v>22</v>
      </c>
      <c r="J195" s="4" t="s">
        <v>23</v>
      </c>
      <c r="K195" s="3" t="s">
        <v>19</v>
      </c>
      <c r="L195" s="8" t="s">
        <v>24</v>
      </c>
      <c r="M195" s="5" t="s">
        <v>25</v>
      </c>
      <c r="N195" s="2" t="s">
        <v>26</v>
      </c>
      <c r="O195" s="5">
        <v>6</v>
      </c>
      <c r="P195" s="2"/>
      <c r="Q195" s="5"/>
    </row>
    <row r="196" spans="1:17" ht="325.5">
      <c r="A196" s="5">
        <v>159</v>
      </c>
      <c r="B196" s="8" t="s">
        <v>16</v>
      </c>
      <c r="C196" s="5" t="str">
        <f>HYPERLINK("http://data.overheid.nl/data/dataset/cultuurhistorische-atlas-provincie-utrecht-chat-vlakken","Cultuurhistorische Atlas Provincie Utrecht (CHAT) - vlakken")</f>
        <v>Cultuurhistorische Atlas Provincie Utrecht (CHAT) - vlakken</v>
      </c>
      <c r="D196" s="8" t="s">
        <v>17</v>
      </c>
      <c r="E196" s="5" t="s">
        <v>18</v>
      </c>
      <c r="F196" s="2" t="s">
        <v>372</v>
      </c>
      <c r="G196" s="5" t="s">
        <v>182</v>
      </c>
      <c r="H196" s="8" t="s">
        <v>21</v>
      </c>
      <c r="I196" s="5" t="s">
        <v>22</v>
      </c>
      <c r="J196" s="4" t="s">
        <v>23</v>
      </c>
      <c r="K196" s="3" t="s">
        <v>19</v>
      </c>
      <c r="L196" s="8" t="s">
        <v>24</v>
      </c>
      <c r="M196" s="5" t="s">
        <v>25</v>
      </c>
      <c r="N196" s="2" t="s">
        <v>26</v>
      </c>
      <c r="O196" s="5">
        <v>6</v>
      </c>
      <c r="P196" s="2"/>
      <c r="Q196" s="5"/>
    </row>
    <row r="197" spans="1:17" ht="15.5">
      <c r="A197" s="5">
        <v>160</v>
      </c>
      <c r="B197" s="8" t="s">
        <v>16</v>
      </c>
      <c r="C197" s="5" t="str">
        <f>HYPERLINK("http://data.overheid.nl/data/dataset/sloepennetwerk-knooppunten","Sloepennetwerk - Knooppunten")</f>
        <v>Sloepennetwerk - Knooppunten</v>
      </c>
      <c r="D197" s="8" t="s">
        <v>17</v>
      </c>
      <c r="E197" s="5" t="s">
        <v>18</v>
      </c>
      <c r="F197" s="2" t="s">
        <v>372</v>
      </c>
      <c r="G197" s="5" t="s">
        <v>183</v>
      </c>
      <c r="H197" s="8" t="s">
        <v>21</v>
      </c>
      <c r="I197" s="5" t="s">
        <v>22</v>
      </c>
      <c r="J197" s="4" t="s">
        <v>23</v>
      </c>
      <c r="K197" s="3" t="s">
        <v>19</v>
      </c>
      <c r="L197" s="8" t="s">
        <v>24</v>
      </c>
      <c r="M197" s="5" t="s">
        <v>25</v>
      </c>
      <c r="N197" s="2" t="s">
        <v>26</v>
      </c>
      <c r="O197" s="5">
        <v>2</v>
      </c>
      <c r="P197" s="2"/>
      <c r="Q197" s="5"/>
    </row>
    <row r="198" spans="1:17" ht="15.5">
      <c r="A198" s="5">
        <v>161</v>
      </c>
      <c r="B198" s="8" t="s">
        <v>16</v>
      </c>
      <c r="C198" s="5" t="str">
        <f>HYPERLINK("http://data.overheid.nl/data/dataset/sloepenroutenetwerk-routes","Sloepenroutenetwerk - Routes")</f>
        <v>Sloepenroutenetwerk - Routes</v>
      </c>
      <c r="D198" s="8" t="s">
        <v>17</v>
      </c>
      <c r="E198" s="5" t="s">
        <v>18</v>
      </c>
      <c r="F198" s="2" t="s">
        <v>372</v>
      </c>
      <c r="G198" s="5" t="s">
        <v>184</v>
      </c>
      <c r="H198" s="8" t="s">
        <v>21</v>
      </c>
      <c r="I198" s="5" t="s">
        <v>22</v>
      </c>
      <c r="J198" s="4" t="s">
        <v>23</v>
      </c>
      <c r="K198" s="3" t="s">
        <v>19</v>
      </c>
      <c r="L198" s="8" t="s">
        <v>24</v>
      </c>
      <c r="M198" s="5" t="s">
        <v>25</v>
      </c>
      <c r="N198" s="2" t="s">
        <v>26</v>
      </c>
      <c r="O198" s="5">
        <v>1</v>
      </c>
      <c r="P198" s="2"/>
      <c r="Q198" s="5"/>
    </row>
    <row r="199" spans="1:17" ht="77.5">
      <c r="A199" s="5">
        <v>162</v>
      </c>
      <c r="B199" s="8" t="s">
        <v>16</v>
      </c>
      <c r="C199" s="5" t="str">
        <f>HYPERLINK("http://data.overheid.nl/data/dataset/belaste-woningen-pm-2-5-wegverkeer","Belaste woningen PM 2,5 wegverkeer")</f>
        <v>Belaste woningen PM 2,5 wegverkeer</v>
      </c>
      <c r="D199" s="8" t="s">
        <v>17</v>
      </c>
      <c r="E199" s="5" t="s">
        <v>18</v>
      </c>
      <c r="F199" s="2" t="s">
        <v>372</v>
      </c>
      <c r="G199" s="5" t="s">
        <v>185</v>
      </c>
      <c r="H199" s="8" t="s">
        <v>21</v>
      </c>
      <c r="I199" s="5" t="s">
        <v>22</v>
      </c>
      <c r="J199" s="4" t="s">
        <v>23</v>
      </c>
      <c r="K199" s="3" t="s">
        <v>19</v>
      </c>
      <c r="L199" s="8" t="s">
        <v>24</v>
      </c>
      <c r="M199" s="5" t="s">
        <v>25</v>
      </c>
      <c r="N199" s="2" t="s">
        <v>26</v>
      </c>
      <c r="O199" s="5">
        <v>2</v>
      </c>
      <c r="P199" s="2"/>
      <c r="Q199" s="5"/>
    </row>
    <row r="200" spans="1:17" ht="31">
      <c r="A200" s="5">
        <v>163</v>
      </c>
      <c r="B200" s="8" t="s">
        <v>16</v>
      </c>
      <c r="C200" s="5" t="str">
        <f>HYPERLINK("http://data.overheid.nl/data/dataset/kleine-landschappelijke-elementen-kle-waarden-lijnen","Kleine Landschappelijke Elementen (KLE) - waarden (lijnen)")</f>
        <v>Kleine Landschappelijke Elementen (KLE) - waarden (lijnen)</v>
      </c>
      <c r="D200" s="8" t="s">
        <v>17</v>
      </c>
      <c r="E200" s="5" t="s">
        <v>18</v>
      </c>
      <c r="F200" s="2" t="s">
        <v>372</v>
      </c>
      <c r="G200" s="5" t="s">
        <v>186</v>
      </c>
      <c r="H200" s="8" t="s">
        <v>21</v>
      </c>
      <c r="I200" s="5" t="s">
        <v>22</v>
      </c>
      <c r="J200" s="4" t="s">
        <v>23</v>
      </c>
      <c r="K200" s="3" t="s">
        <v>19</v>
      </c>
      <c r="L200" s="8" t="s">
        <v>24</v>
      </c>
      <c r="M200" s="5" t="s">
        <v>25</v>
      </c>
      <c r="N200" s="2" t="s">
        <v>26</v>
      </c>
      <c r="O200" s="5">
        <v>2</v>
      </c>
      <c r="P200" s="2"/>
      <c r="Q200" s="5"/>
    </row>
    <row r="201" spans="1:17" ht="15.5">
      <c r="A201" s="5">
        <v>164</v>
      </c>
      <c r="B201" s="8" t="s">
        <v>16</v>
      </c>
      <c r="C201" s="5" t="str">
        <f>HYPERLINK("http://data.overheid.nl/data/dataset/totaal-ges-contouren","Totaal GES-contouren")</f>
        <v>Totaal GES-contouren</v>
      </c>
      <c r="D201" s="8" t="s">
        <v>17</v>
      </c>
      <c r="E201" s="5" t="s">
        <v>18</v>
      </c>
      <c r="F201" s="2" t="s">
        <v>372</v>
      </c>
      <c r="G201" s="5" t="s">
        <v>187</v>
      </c>
      <c r="H201" s="8" t="s">
        <v>21</v>
      </c>
      <c r="I201" s="5" t="s">
        <v>22</v>
      </c>
      <c r="J201" s="4" t="s">
        <v>23</v>
      </c>
      <c r="K201" s="3" t="s">
        <v>19</v>
      </c>
      <c r="L201" s="8" t="s">
        <v>24</v>
      </c>
      <c r="M201" s="5" t="s">
        <v>25</v>
      </c>
      <c r="N201" s="2" t="s">
        <v>26</v>
      </c>
      <c r="O201" s="5">
        <v>2</v>
      </c>
      <c r="P201" s="2"/>
      <c r="Q201" s="5"/>
    </row>
    <row r="202" spans="1:17" ht="15.5">
      <c r="A202" s="5">
        <v>165</v>
      </c>
      <c r="B202" s="8" t="s">
        <v>16</v>
      </c>
      <c r="C202" s="5" t="str">
        <f>HYPERLINK("http://data.overheid.nl/data/dataset/totaal-ges-belaste-woningen","Totaal GES belaste woningen")</f>
        <v>Totaal GES belaste woningen</v>
      </c>
      <c r="D202" s="8" t="s">
        <v>17</v>
      </c>
      <c r="E202" s="5" t="s">
        <v>18</v>
      </c>
      <c r="F202" s="2" t="s">
        <v>372</v>
      </c>
      <c r="G202" s="5" t="s">
        <v>188</v>
      </c>
      <c r="H202" s="8" t="s">
        <v>21</v>
      </c>
      <c r="I202" s="5" t="s">
        <v>22</v>
      </c>
      <c r="J202" s="4" t="s">
        <v>23</v>
      </c>
      <c r="K202" s="3" t="s">
        <v>19</v>
      </c>
      <c r="L202" s="8" t="s">
        <v>24</v>
      </c>
      <c r="M202" s="5" t="s">
        <v>25</v>
      </c>
      <c r="N202" s="2" t="s">
        <v>26</v>
      </c>
      <c r="O202" s="5">
        <v>2</v>
      </c>
      <c r="P202" s="2"/>
      <c r="Q202" s="5"/>
    </row>
    <row r="203" spans="1:17" ht="15.5">
      <c r="A203" s="5">
        <v>166</v>
      </c>
      <c r="B203" s="8" t="s">
        <v>16</v>
      </c>
      <c r="C203" s="5" t="str">
        <f>HYPERLINK("http://data.overheid.nl/data/dataset/totaal-gevoelige-bestemmingen","Totaal gevoelige bestemmingen")</f>
        <v>Totaal gevoelige bestemmingen</v>
      </c>
      <c r="D203" s="8" t="s">
        <v>17</v>
      </c>
      <c r="E203" s="5" t="s">
        <v>18</v>
      </c>
      <c r="F203" s="2" t="s">
        <v>372</v>
      </c>
      <c r="G203" s="5" t="s">
        <v>189</v>
      </c>
      <c r="H203" s="8" t="s">
        <v>21</v>
      </c>
      <c r="I203" s="5" t="s">
        <v>22</v>
      </c>
      <c r="J203" s="4" t="s">
        <v>23</v>
      </c>
      <c r="K203" s="3" t="s">
        <v>19</v>
      </c>
      <c r="L203" s="8" t="s">
        <v>24</v>
      </c>
      <c r="M203" s="5" t="s">
        <v>25</v>
      </c>
      <c r="N203" s="2" t="s">
        <v>26</v>
      </c>
      <c r="O203" s="5">
        <v>2</v>
      </c>
      <c r="P203" s="2"/>
      <c r="Q203" s="5"/>
    </row>
    <row r="204" spans="1:17" ht="62">
      <c r="A204" s="5">
        <v>167</v>
      </c>
      <c r="B204" s="8" t="s">
        <v>16</v>
      </c>
      <c r="C204" s="5" t="str">
        <f>HYPERLINK("http://data.overheid.nl/data/dataset/natuurbeheerplan-2016-categorie-water","Natuurbeheerplan 2016 - Categorie water")</f>
        <v>Natuurbeheerplan 2016 - Categorie water</v>
      </c>
      <c r="D204" s="8" t="s">
        <v>17</v>
      </c>
      <c r="E204" s="5" t="s">
        <v>18</v>
      </c>
      <c r="F204" s="2" t="s">
        <v>372</v>
      </c>
      <c r="G204" s="5" t="s">
        <v>56</v>
      </c>
      <c r="H204" s="8" t="s">
        <v>21</v>
      </c>
      <c r="I204" s="5" t="s">
        <v>22</v>
      </c>
      <c r="J204" s="4" t="s">
        <v>23</v>
      </c>
      <c r="K204" s="3" t="s">
        <v>19</v>
      </c>
      <c r="L204" s="8" t="s">
        <v>24</v>
      </c>
      <c r="M204" s="5" t="s">
        <v>25</v>
      </c>
      <c r="N204" s="2" t="s">
        <v>26</v>
      </c>
      <c r="O204" s="5">
        <v>4</v>
      </c>
      <c r="P204" s="2"/>
      <c r="Q204" s="5"/>
    </row>
    <row r="205" spans="1:17" ht="77.5">
      <c r="A205" s="5">
        <v>168</v>
      </c>
      <c r="B205" s="8" t="s">
        <v>16</v>
      </c>
      <c r="C205" s="5" t="str">
        <f>HYPERLINK("http://data.overheid.nl/data/dataset/deelgebieden-landschappen","Deelgebieden Landschappen")</f>
        <v>Deelgebieden Landschappen</v>
      </c>
      <c r="D205" s="8" t="s">
        <v>17</v>
      </c>
      <c r="E205" s="5" t="s">
        <v>18</v>
      </c>
      <c r="F205" s="2" t="s">
        <v>372</v>
      </c>
      <c r="G205" s="5" t="s">
        <v>190</v>
      </c>
      <c r="H205" s="8" t="s">
        <v>21</v>
      </c>
      <c r="I205" s="5" t="s">
        <v>22</v>
      </c>
      <c r="J205" s="4" t="s">
        <v>23</v>
      </c>
      <c r="K205" s="3" t="s">
        <v>19</v>
      </c>
      <c r="L205" s="8" t="s">
        <v>24</v>
      </c>
      <c r="M205" s="5" t="s">
        <v>25</v>
      </c>
      <c r="N205" s="2" t="s">
        <v>26</v>
      </c>
      <c r="O205" s="5">
        <v>15</v>
      </c>
      <c r="P205" s="2"/>
      <c r="Q205" s="5"/>
    </row>
    <row r="206" spans="1:17" ht="77.5">
      <c r="A206" s="5">
        <v>169</v>
      </c>
      <c r="B206" s="8" t="s">
        <v>16</v>
      </c>
      <c r="C206" s="5" t="str">
        <f>HYPERLINK("http://data.overheid.nl/data/dataset/groene-contour-met-evz-ehs-oud","Groene contour met EVZ (EHS oud)")</f>
        <v>Groene contour met EVZ (EHS oud)</v>
      </c>
      <c r="D206" s="8" t="s">
        <v>17</v>
      </c>
      <c r="E206" s="5" t="s">
        <v>18</v>
      </c>
      <c r="F206" s="2" t="s">
        <v>372</v>
      </c>
      <c r="G206" s="5" t="s">
        <v>191</v>
      </c>
      <c r="H206" s="8" t="s">
        <v>21</v>
      </c>
      <c r="I206" s="5" t="s">
        <v>22</v>
      </c>
      <c r="J206" s="4" t="s">
        <v>23</v>
      </c>
      <c r="K206" s="3" t="s">
        <v>19</v>
      </c>
      <c r="L206" s="8" t="s">
        <v>24</v>
      </c>
      <c r="M206" s="5" t="s">
        <v>25</v>
      </c>
      <c r="N206" s="2" t="s">
        <v>26</v>
      </c>
      <c r="O206" s="5">
        <v>2</v>
      </c>
      <c r="P206" s="2"/>
      <c r="Q206" s="5"/>
    </row>
    <row r="207" spans="1:17" ht="62">
      <c r="A207" s="5">
        <v>172</v>
      </c>
      <c r="B207" s="8" t="s">
        <v>16</v>
      </c>
      <c r="C207" s="5" t="str">
        <f>HYPERLINK("http://data.overheid.nl/data/dataset/overslaggronden-bodemkaart-veengebieden","Overslaggronden bodemkaart Veengebieden")</f>
        <v>Overslaggronden bodemkaart Veengebieden</v>
      </c>
      <c r="D207" s="8" t="s">
        <v>17</v>
      </c>
      <c r="E207" s="5" t="s">
        <v>18</v>
      </c>
      <c r="F207" s="2" t="s">
        <v>372</v>
      </c>
      <c r="G207" s="5" t="s">
        <v>193</v>
      </c>
      <c r="H207" s="8" t="s">
        <v>21</v>
      </c>
      <c r="I207" s="5" t="s">
        <v>22</v>
      </c>
      <c r="J207" s="4" t="s">
        <v>23</v>
      </c>
      <c r="K207" s="3" t="s">
        <v>19</v>
      </c>
      <c r="L207" s="8" t="s">
        <v>24</v>
      </c>
      <c r="M207" s="5" t="s">
        <v>25</v>
      </c>
      <c r="N207" s="2" t="s">
        <v>26</v>
      </c>
      <c r="O207" s="5">
        <v>2</v>
      </c>
      <c r="P207" s="2"/>
      <c r="Q207" s="5"/>
    </row>
    <row r="208" spans="1:17" ht="31">
      <c r="A208" s="5">
        <v>175</v>
      </c>
      <c r="B208" s="8" t="s">
        <v>16</v>
      </c>
      <c r="C208" s="5" t="str">
        <f>HYPERLINK("http://data.overheid.nl/data/dataset/habitattypen-en-leefgebiedenkaart-depositiebank","Habitattypen- en leefgebiedenkaart Depositiebank")</f>
        <v>Habitattypen- en leefgebiedenkaart Depositiebank</v>
      </c>
      <c r="D208" s="8" t="s">
        <v>17</v>
      </c>
      <c r="E208" s="5" t="s">
        <v>18</v>
      </c>
      <c r="F208" s="2" t="s">
        <v>372</v>
      </c>
      <c r="G208" s="5" t="s">
        <v>196</v>
      </c>
      <c r="H208" s="8" t="s">
        <v>21</v>
      </c>
      <c r="I208" s="5" t="s">
        <v>22</v>
      </c>
      <c r="J208" s="4" t="s">
        <v>23</v>
      </c>
      <c r="K208" s="3" t="s">
        <v>19</v>
      </c>
      <c r="L208" s="8" t="s">
        <v>24</v>
      </c>
      <c r="M208" s="5" t="s">
        <v>25</v>
      </c>
      <c r="N208" s="2" t="s">
        <v>26</v>
      </c>
      <c r="O208" s="5">
        <v>4</v>
      </c>
      <c r="P208" s="2"/>
      <c r="Q208" s="5"/>
    </row>
    <row r="209" spans="1:17" ht="15.5">
      <c r="A209" s="5">
        <v>176</v>
      </c>
      <c r="B209" s="8" t="s">
        <v>16</v>
      </c>
      <c r="C209" s="5" t="str">
        <f>HYPERLINK("http://data.overheid.nl/data/dataset/omtrek-n2000-gebieden-depositiebank","Omtrek N2000 gebieden Depositiebank")</f>
        <v>Omtrek N2000 gebieden Depositiebank</v>
      </c>
      <c r="D209" s="8" t="s">
        <v>17</v>
      </c>
      <c r="E209" s="5" t="s">
        <v>18</v>
      </c>
      <c r="F209" s="2" t="s">
        <v>372</v>
      </c>
      <c r="G209" s="5" t="s">
        <v>197</v>
      </c>
      <c r="H209" s="8" t="s">
        <v>21</v>
      </c>
      <c r="I209" s="5" t="s">
        <v>22</v>
      </c>
      <c r="J209" s="4" t="s">
        <v>23</v>
      </c>
      <c r="K209" s="3" t="s">
        <v>19</v>
      </c>
      <c r="L209" s="8" t="s">
        <v>24</v>
      </c>
      <c r="M209" s="5" t="s">
        <v>25</v>
      </c>
      <c r="N209" s="2" t="s">
        <v>26</v>
      </c>
      <c r="O209" s="5">
        <v>1</v>
      </c>
      <c r="P209" s="2"/>
      <c r="Q209" s="5"/>
    </row>
    <row r="210" spans="1:17" ht="31">
      <c r="A210" s="5">
        <v>177</v>
      </c>
      <c r="B210" s="8" t="s">
        <v>16</v>
      </c>
      <c r="C210" s="5" t="str">
        <f>HYPERLINK("http://data.overheid.nl/data/dataset/kleine-landschappelijke-elementen-kle-vlakken","Kleine Landschappelijke Elementen (KLE; vlakken)")</f>
        <v>Kleine Landschappelijke Elementen (KLE; vlakken)</v>
      </c>
      <c r="D210" s="8" t="s">
        <v>17</v>
      </c>
      <c r="E210" s="5" t="s">
        <v>18</v>
      </c>
      <c r="F210" s="2" t="s">
        <v>372</v>
      </c>
      <c r="G210" s="5" t="s">
        <v>198</v>
      </c>
      <c r="H210" s="8" t="s">
        <v>21</v>
      </c>
      <c r="I210" s="5" t="s">
        <v>22</v>
      </c>
      <c r="J210" s="4" t="s">
        <v>23</v>
      </c>
      <c r="K210" s="3" t="s">
        <v>19</v>
      </c>
      <c r="L210" s="8" t="s">
        <v>24</v>
      </c>
      <c r="M210" s="5" t="s">
        <v>25</v>
      </c>
      <c r="N210" s="2" t="s">
        <v>26</v>
      </c>
      <c r="O210" s="5">
        <v>2</v>
      </c>
      <c r="P210" s="2"/>
      <c r="Q210" s="5"/>
    </row>
    <row r="211" spans="1:17" ht="31">
      <c r="A211" s="5">
        <v>178</v>
      </c>
      <c r="B211" s="8" t="s">
        <v>16</v>
      </c>
      <c r="C211" s="5" t="str">
        <f>HYPERLINK("http://data.overheid.nl/data/dataset/kleine-landschappelijke-elementen-kle-punten","Kleine Landschappelijke Elementen (KLE; punten)")</f>
        <v>Kleine Landschappelijke Elementen (KLE; punten)</v>
      </c>
      <c r="D211" s="8" t="s">
        <v>17</v>
      </c>
      <c r="E211" s="5" t="s">
        <v>18</v>
      </c>
      <c r="F211" s="2" t="s">
        <v>372</v>
      </c>
      <c r="G211" s="5" t="s">
        <v>198</v>
      </c>
      <c r="H211" s="8" t="s">
        <v>21</v>
      </c>
      <c r="I211" s="5" t="s">
        <v>22</v>
      </c>
      <c r="J211" s="4" t="s">
        <v>23</v>
      </c>
      <c r="K211" s="3" t="s">
        <v>19</v>
      </c>
      <c r="L211" s="8" t="s">
        <v>24</v>
      </c>
      <c r="M211" s="5" t="s">
        <v>25</v>
      </c>
      <c r="N211" s="2" t="s">
        <v>26</v>
      </c>
      <c r="O211" s="5">
        <v>2</v>
      </c>
      <c r="P211" s="2"/>
      <c r="Q211" s="5"/>
    </row>
    <row r="212" spans="1:17" ht="31">
      <c r="A212" s="5">
        <v>179</v>
      </c>
      <c r="B212" s="8" t="s">
        <v>16</v>
      </c>
      <c r="C212" s="5" t="str">
        <f>HYPERLINK("http://data.overheid.nl/data/dataset/kleine-landschappelijke-elementen-kle-lijnen","Kleine Landschappelijke Elementen (KLE; lijnen)")</f>
        <v>Kleine Landschappelijke Elementen (KLE; lijnen)</v>
      </c>
      <c r="D212" s="8" t="s">
        <v>17</v>
      </c>
      <c r="E212" s="5" t="s">
        <v>18</v>
      </c>
      <c r="F212" s="2" t="s">
        <v>372</v>
      </c>
      <c r="G212" s="5" t="s">
        <v>198</v>
      </c>
      <c r="H212" s="8" t="s">
        <v>21</v>
      </c>
      <c r="I212" s="5" t="s">
        <v>22</v>
      </c>
      <c r="J212" s="4" t="s">
        <v>23</v>
      </c>
      <c r="K212" s="3" t="s">
        <v>19</v>
      </c>
      <c r="L212" s="8" t="s">
        <v>24</v>
      </c>
      <c r="M212" s="5" t="s">
        <v>25</v>
      </c>
      <c r="N212" s="2" t="s">
        <v>26</v>
      </c>
      <c r="O212" s="5">
        <v>2</v>
      </c>
      <c r="P212" s="2"/>
      <c r="Q212" s="5"/>
    </row>
    <row r="213" spans="1:17" ht="46.5">
      <c r="A213" s="5">
        <v>180</v>
      </c>
      <c r="B213" s="8" t="s">
        <v>16</v>
      </c>
      <c r="C213" s="5" t="str">
        <f>HYPERLINK("http://data.overheid.nl/data/dataset/natuurbeheerplan-2016-toeslagen","Natuurbeheerplan 2016 Toeslagen")</f>
        <v>Natuurbeheerplan 2016 Toeslagen</v>
      </c>
      <c r="D213" s="8" t="s">
        <v>17</v>
      </c>
      <c r="E213" s="5" t="s">
        <v>18</v>
      </c>
      <c r="F213" s="2" t="s">
        <v>372</v>
      </c>
      <c r="G213" s="5" t="s">
        <v>54</v>
      </c>
      <c r="H213" s="8" t="s">
        <v>21</v>
      </c>
      <c r="I213" s="5" t="s">
        <v>22</v>
      </c>
      <c r="J213" s="4" t="s">
        <v>23</v>
      </c>
      <c r="K213" s="3" t="s">
        <v>19</v>
      </c>
      <c r="L213" s="8" t="s">
        <v>24</v>
      </c>
      <c r="M213" s="5" t="s">
        <v>25</v>
      </c>
      <c r="N213" s="2" t="s">
        <v>26</v>
      </c>
      <c r="O213" s="5">
        <v>2</v>
      </c>
      <c r="P213" s="2"/>
      <c r="Q213" s="5"/>
    </row>
    <row r="214" spans="1:17" ht="31">
      <c r="A214" s="5">
        <v>181</v>
      </c>
      <c r="B214" s="8" t="s">
        <v>16</v>
      </c>
      <c r="C214" s="5" t="str">
        <f>HYPERLINK("http://data.overheid.nl/data/dataset/natuurbeheerplan-2016-deelgebied","Natuurbeheerplan 2016 - Deelgebied")</f>
        <v>Natuurbeheerplan 2016 - Deelgebied</v>
      </c>
      <c r="D214" s="8" t="s">
        <v>17</v>
      </c>
      <c r="E214" s="5" t="s">
        <v>18</v>
      </c>
      <c r="F214" s="2" t="s">
        <v>372</v>
      </c>
      <c r="G214" s="5" t="s">
        <v>55</v>
      </c>
      <c r="H214" s="8" t="s">
        <v>21</v>
      </c>
      <c r="I214" s="5" t="s">
        <v>22</v>
      </c>
      <c r="J214" s="4" t="s">
        <v>23</v>
      </c>
      <c r="K214" s="3" t="s">
        <v>19</v>
      </c>
      <c r="L214" s="8" t="s">
        <v>24</v>
      </c>
      <c r="M214" s="5" t="s">
        <v>25</v>
      </c>
      <c r="N214" s="2" t="s">
        <v>26</v>
      </c>
      <c r="O214" s="5">
        <v>2</v>
      </c>
      <c r="P214" s="2"/>
      <c r="Q214" s="5"/>
    </row>
    <row r="215" spans="1:17" ht="62">
      <c r="A215" s="5">
        <v>182</v>
      </c>
      <c r="B215" s="8" t="s">
        <v>16</v>
      </c>
      <c r="C215" s="5" t="str">
        <f>HYPERLINK("http://data.overheid.nl/data/dataset/natuurbeheerplan-2016-beheergebied-ambitie","Natuurbeheerplan 2016 - Beheergebied ambitie")</f>
        <v>Natuurbeheerplan 2016 - Beheergebied ambitie</v>
      </c>
      <c r="D215" s="8" t="s">
        <v>17</v>
      </c>
      <c r="E215" s="5" t="s">
        <v>18</v>
      </c>
      <c r="F215" s="2" t="s">
        <v>372</v>
      </c>
      <c r="G215" s="5" t="s">
        <v>199</v>
      </c>
      <c r="H215" s="8" t="s">
        <v>21</v>
      </c>
      <c r="I215" s="5" t="s">
        <v>22</v>
      </c>
      <c r="J215" s="4" t="s">
        <v>23</v>
      </c>
      <c r="K215" s="3" t="s">
        <v>19</v>
      </c>
      <c r="L215" s="8" t="s">
        <v>24</v>
      </c>
      <c r="M215" s="5" t="s">
        <v>25</v>
      </c>
      <c r="N215" s="2" t="s">
        <v>26</v>
      </c>
      <c r="O215" s="5">
        <v>2</v>
      </c>
      <c r="P215" s="2"/>
      <c r="Q215" s="5"/>
    </row>
    <row r="216" spans="1:17" ht="46.5">
      <c r="A216" s="5">
        <v>183</v>
      </c>
      <c r="B216" s="8" t="s">
        <v>16</v>
      </c>
      <c r="C216" s="5" t="str">
        <f>HYPERLINK("http://data.overheid.nl/data/dataset/natuurbeheerplan-2016-beheergebied","Natuurbeheerplan 2016 - Beheergebied")</f>
        <v>Natuurbeheerplan 2016 - Beheergebied</v>
      </c>
      <c r="D216" s="8" t="s">
        <v>17</v>
      </c>
      <c r="E216" s="5" t="s">
        <v>18</v>
      </c>
      <c r="F216" s="2" t="s">
        <v>372</v>
      </c>
      <c r="G216" s="5" t="s">
        <v>200</v>
      </c>
      <c r="H216" s="8" t="s">
        <v>21</v>
      </c>
      <c r="I216" s="5" t="s">
        <v>22</v>
      </c>
      <c r="J216" s="4" t="s">
        <v>23</v>
      </c>
      <c r="K216" s="3" t="s">
        <v>19</v>
      </c>
      <c r="L216" s="8" t="s">
        <v>24</v>
      </c>
      <c r="M216" s="5" t="s">
        <v>25</v>
      </c>
      <c r="N216" s="2" t="s">
        <v>26</v>
      </c>
      <c r="O216" s="5">
        <v>4</v>
      </c>
      <c r="P216" s="2"/>
      <c r="Q216" s="5"/>
    </row>
    <row r="217" spans="1:17" ht="31">
      <c r="A217" s="5">
        <v>184</v>
      </c>
      <c r="B217" s="8" t="s">
        <v>16</v>
      </c>
      <c r="C217" s="5" t="str">
        <f>HYPERLINK("http://data.overheid.nl/data/dataset/natuurbeheerplan-2016-begrenzing-natuur","Natuurbeheerplan 2016 - Begrenzing natuur")</f>
        <v>Natuurbeheerplan 2016 - Begrenzing natuur</v>
      </c>
      <c r="D217" s="8" t="s">
        <v>17</v>
      </c>
      <c r="E217" s="5" t="s">
        <v>18</v>
      </c>
      <c r="F217" s="2" t="s">
        <v>372</v>
      </c>
      <c r="G217" s="5" t="s">
        <v>201</v>
      </c>
      <c r="H217" s="8" t="s">
        <v>21</v>
      </c>
      <c r="I217" s="5" t="s">
        <v>22</v>
      </c>
      <c r="J217" s="4" t="s">
        <v>23</v>
      </c>
      <c r="K217" s="3" t="s">
        <v>19</v>
      </c>
      <c r="L217" s="8" t="s">
        <v>24</v>
      </c>
      <c r="M217" s="5" t="s">
        <v>25</v>
      </c>
      <c r="N217" s="2" t="s">
        <v>26</v>
      </c>
      <c r="O217" s="5">
        <v>2</v>
      </c>
      <c r="P217" s="2"/>
      <c r="Q217" s="5"/>
    </row>
    <row r="218" spans="1:17" ht="31">
      <c r="A218" s="5">
        <v>185</v>
      </c>
      <c r="B218" s="8" t="s">
        <v>16</v>
      </c>
      <c r="C218" s="5" t="str">
        <f>HYPERLINK("http://data.overheid.nl/data/dataset/natuurbeheerplan-2016-agrarisch-zoekgebied","Natuurbeheerplan 2016 - Agrarisch zoekgebied")</f>
        <v>Natuurbeheerplan 2016 - Agrarisch zoekgebied</v>
      </c>
      <c r="D218" s="8" t="s">
        <v>17</v>
      </c>
      <c r="E218" s="5" t="s">
        <v>18</v>
      </c>
      <c r="F218" s="2" t="s">
        <v>372</v>
      </c>
      <c r="G218" s="5" t="s">
        <v>60</v>
      </c>
      <c r="H218" s="8" t="s">
        <v>21</v>
      </c>
      <c r="I218" s="5" t="s">
        <v>22</v>
      </c>
      <c r="J218" s="4" t="s">
        <v>23</v>
      </c>
      <c r="K218" s="3" t="s">
        <v>19</v>
      </c>
      <c r="L218" s="8" t="s">
        <v>24</v>
      </c>
      <c r="M218" s="5" t="s">
        <v>25</v>
      </c>
      <c r="N218" s="2" t="s">
        <v>26</v>
      </c>
      <c r="O218" s="5">
        <v>9</v>
      </c>
      <c r="P218" s="2"/>
      <c r="Q218" s="5"/>
    </row>
    <row r="219" spans="1:17" ht="139.5">
      <c r="A219" s="5">
        <v>186</v>
      </c>
      <c r="B219" s="8" t="s">
        <v>16</v>
      </c>
      <c r="C219" s="5" t="str">
        <f>HYPERLINK("http://data.overheid.nl/data/dataset/signaleringskaart-ext-veiligheid-transp-en-plasbrandaandachtsgebied-water","Signaleringskaart ext. veiligheid transp. en plasbrandaandachtsgebied water")</f>
        <v>Signaleringskaart ext. veiligheid transp. en plasbrandaandachtsgebied water</v>
      </c>
      <c r="D219" s="8" t="s">
        <v>17</v>
      </c>
      <c r="E219" s="5" t="s">
        <v>18</v>
      </c>
      <c r="F219" s="2" t="s">
        <v>372</v>
      </c>
      <c r="G219" s="5" t="s">
        <v>179</v>
      </c>
      <c r="H219" s="8" t="s">
        <v>21</v>
      </c>
      <c r="I219" s="5" t="s">
        <v>22</v>
      </c>
      <c r="J219" s="4" t="s">
        <v>23</v>
      </c>
      <c r="K219" s="3" t="s">
        <v>19</v>
      </c>
      <c r="L219" s="8" t="s">
        <v>24</v>
      </c>
      <c r="M219" s="5" t="s">
        <v>25</v>
      </c>
      <c r="N219" s="2" t="s">
        <v>26</v>
      </c>
      <c r="O219" s="5">
        <v>2</v>
      </c>
      <c r="P219" s="2"/>
      <c r="Q219" s="5"/>
    </row>
    <row r="220" spans="1:17" ht="31">
      <c r="A220" s="5">
        <v>187</v>
      </c>
      <c r="B220" s="8" t="s">
        <v>16</v>
      </c>
      <c r="C220" s="5" t="str">
        <f>HYPERLINK("http://data.overheid.nl/data/dataset/kabels-en-leidingen-lijnen","Kabels en leidingen - lijnen")</f>
        <v>Kabels en leidingen - lijnen</v>
      </c>
      <c r="D220" s="8" t="s">
        <v>17</v>
      </c>
      <c r="E220" s="5" t="s">
        <v>18</v>
      </c>
      <c r="F220" s="2" t="s">
        <v>372</v>
      </c>
      <c r="G220" s="5" t="s">
        <v>202</v>
      </c>
      <c r="H220" s="8" t="s">
        <v>21</v>
      </c>
      <c r="I220" s="5" t="s">
        <v>22</v>
      </c>
      <c r="J220" s="4" t="s">
        <v>23</v>
      </c>
      <c r="K220" s="3" t="s">
        <v>19</v>
      </c>
      <c r="L220" s="8" t="s">
        <v>24</v>
      </c>
      <c r="M220" s="5" t="s">
        <v>25</v>
      </c>
      <c r="N220" s="2" t="s">
        <v>26</v>
      </c>
      <c r="O220" s="5">
        <v>2</v>
      </c>
      <c r="P220" s="2"/>
      <c r="Q220" s="5"/>
    </row>
    <row r="221" spans="1:17" ht="31">
      <c r="A221" s="5">
        <v>188</v>
      </c>
      <c r="B221" s="8" t="s">
        <v>16</v>
      </c>
      <c r="C221" s="5" t="str">
        <f>HYPERLINK("http://data.overheid.nl/data/dataset/kabels-en-leidingen-punten","Kabels en leidingen - punten")</f>
        <v>Kabels en leidingen - punten</v>
      </c>
      <c r="D221" s="8" t="s">
        <v>17</v>
      </c>
      <c r="E221" s="5" t="s">
        <v>18</v>
      </c>
      <c r="F221" s="2" t="s">
        <v>372</v>
      </c>
      <c r="G221" s="5" t="s">
        <v>202</v>
      </c>
      <c r="H221" s="8" t="s">
        <v>21</v>
      </c>
      <c r="I221" s="5" t="s">
        <v>22</v>
      </c>
      <c r="J221" s="4" t="s">
        <v>23</v>
      </c>
      <c r="K221" s="3" t="s">
        <v>19</v>
      </c>
      <c r="L221" s="8" t="s">
        <v>24</v>
      </c>
      <c r="M221" s="5" t="s">
        <v>25</v>
      </c>
      <c r="N221" s="2" t="s">
        <v>26</v>
      </c>
      <c r="O221" s="5">
        <v>2</v>
      </c>
      <c r="P221" s="2"/>
      <c r="Q221" s="5"/>
    </row>
    <row r="222" spans="1:17" ht="31">
      <c r="A222" s="5">
        <v>189</v>
      </c>
      <c r="B222" s="8" t="s">
        <v>16</v>
      </c>
      <c r="C222" s="5" t="str">
        <f>HYPERLINK("http://data.overheid.nl/data/dataset/kabels-en-leidingen-vlakken","Kabels en leidingen - vlakken")</f>
        <v>Kabels en leidingen - vlakken</v>
      </c>
      <c r="D222" s="8" t="s">
        <v>17</v>
      </c>
      <c r="E222" s="5" t="s">
        <v>18</v>
      </c>
      <c r="F222" s="2" t="s">
        <v>372</v>
      </c>
      <c r="G222" s="5" t="s">
        <v>202</v>
      </c>
      <c r="H222" s="8" t="s">
        <v>21</v>
      </c>
      <c r="I222" s="5" t="s">
        <v>22</v>
      </c>
      <c r="J222" s="4" t="s">
        <v>23</v>
      </c>
      <c r="K222" s="3" t="s">
        <v>19</v>
      </c>
      <c r="L222" s="8" t="s">
        <v>24</v>
      </c>
      <c r="M222" s="5" t="s">
        <v>25</v>
      </c>
      <c r="N222" s="2" t="s">
        <v>26</v>
      </c>
      <c r="O222" s="5">
        <v>2</v>
      </c>
      <c r="P222" s="2"/>
      <c r="Q222" s="5"/>
    </row>
    <row r="223" spans="1:17" ht="108.5">
      <c r="A223" s="5">
        <v>190</v>
      </c>
      <c r="B223" s="8" t="s">
        <v>16</v>
      </c>
      <c r="C223" s="5" t="str">
        <f>HYPERLINK("http://data.overheid.nl/data/dataset/utrecht-science-park-vlakken","Utrecht Science Park (vlakken)")</f>
        <v>Utrecht Science Park (vlakken)</v>
      </c>
      <c r="D223" s="8" t="s">
        <v>17</v>
      </c>
      <c r="E223" s="5" t="s">
        <v>18</v>
      </c>
      <c r="F223" s="2" t="s">
        <v>372</v>
      </c>
      <c r="G223" s="5" t="s">
        <v>203</v>
      </c>
      <c r="H223" s="8" t="s">
        <v>21</v>
      </c>
      <c r="I223" s="5" t="s">
        <v>22</v>
      </c>
      <c r="J223" s="4" t="s">
        <v>23</v>
      </c>
      <c r="K223" s="3" t="s">
        <v>19</v>
      </c>
      <c r="L223" s="8" t="s">
        <v>24</v>
      </c>
      <c r="M223" s="5" t="s">
        <v>25</v>
      </c>
      <c r="N223" s="2" t="s">
        <v>26</v>
      </c>
      <c r="O223" s="5">
        <v>2</v>
      </c>
      <c r="P223" s="2"/>
      <c r="Q223" s="5"/>
    </row>
    <row r="224" spans="1:17" ht="108.5">
      <c r="A224" s="5">
        <v>191</v>
      </c>
      <c r="B224" s="8" t="s">
        <v>16</v>
      </c>
      <c r="C224" s="5" t="str">
        <f>HYPERLINK("http://data.overheid.nl/data/dataset/utrecht-science-park-lijnen","Utrecht Science Park (lijnen)")</f>
        <v>Utrecht Science Park (lijnen)</v>
      </c>
      <c r="D224" s="8" t="s">
        <v>17</v>
      </c>
      <c r="E224" s="5" t="s">
        <v>18</v>
      </c>
      <c r="F224" s="2" t="s">
        <v>372</v>
      </c>
      <c r="G224" s="5" t="s">
        <v>203</v>
      </c>
      <c r="H224" s="8" t="s">
        <v>21</v>
      </c>
      <c r="I224" s="5" t="s">
        <v>22</v>
      </c>
      <c r="J224" s="4" t="s">
        <v>23</v>
      </c>
      <c r="K224" s="3" t="s">
        <v>19</v>
      </c>
      <c r="L224" s="8" t="s">
        <v>24</v>
      </c>
      <c r="M224" s="5" t="s">
        <v>25</v>
      </c>
      <c r="N224" s="2" t="s">
        <v>26</v>
      </c>
      <c r="O224" s="5">
        <v>2</v>
      </c>
      <c r="P224" s="2"/>
      <c r="Q224" s="5"/>
    </row>
    <row r="225" spans="1:17" ht="15.5">
      <c r="A225" s="5">
        <v>193</v>
      </c>
      <c r="B225" s="8" t="s">
        <v>16</v>
      </c>
      <c r="C225" s="5" t="str">
        <f>HYPERLINK("http://data.overheid.nl/data/dataset/projecten-focusgemeenten","Projecten focusgemeenten")</f>
        <v>Projecten focusgemeenten</v>
      </c>
      <c r="D225" s="8" t="s">
        <v>17</v>
      </c>
      <c r="E225" s="5" t="s">
        <v>18</v>
      </c>
      <c r="F225" s="2" t="s">
        <v>372</v>
      </c>
      <c r="G225" s="5" t="s">
        <v>205</v>
      </c>
      <c r="H225" s="8" t="s">
        <v>21</v>
      </c>
      <c r="I225" s="5" t="s">
        <v>22</v>
      </c>
      <c r="J225" s="4" t="s">
        <v>23</v>
      </c>
      <c r="K225" s="3" t="s">
        <v>19</v>
      </c>
      <c r="L225" s="8" t="s">
        <v>24</v>
      </c>
      <c r="M225" s="5" t="s">
        <v>25</v>
      </c>
      <c r="N225" s="2" t="s">
        <v>26</v>
      </c>
      <c r="O225" s="5">
        <v>3</v>
      </c>
      <c r="P225" s="2"/>
      <c r="Q225" s="5"/>
    </row>
    <row r="226" spans="1:17" ht="15.5">
      <c r="A226" s="5">
        <v>195</v>
      </c>
      <c r="B226" s="8" t="s">
        <v>16</v>
      </c>
      <c r="C226" s="5" t="str">
        <f>HYPERLINK("http://data.overheid.nl/data/dataset/duurzame-locaties","duurzame locaties")</f>
        <v>duurzame locaties</v>
      </c>
      <c r="D226" s="8" t="s">
        <v>17</v>
      </c>
      <c r="E226" s="5" t="s">
        <v>18</v>
      </c>
      <c r="F226" s="2" t="s">
        <v>372</v>
      </c>
      <c r="G226" s="5" t="s">
        <v>207</v>
      </c>
      <c r="H226" s="8" t="s">
        <v>21</v>
      </c>
      <c r="I226" s="5" t="s">
        <v>22</v>
      </c>
      <c r="J226" s="4" t="s">
        <v>23</v>
      </c>
      <c r="K226" s="3" t="s">
        <v>19</v>
      </c>
      <c r="L226" s="8" t="s">
        <v>24</v>
      </c>
      <c r="M226" s="5" t="s">
        <v>25</v>
      </c>
      <c r="N226" s="2" t="s">
        <v>26</v>
      </c>
      <c r="O226" s="5">
        <v>6</v>
      </c>
      <c r="P226" s="2"/>
      <c r="Q226" s="5"/>
    </row>
    <row r="227" spans="1:17" ht="15.5">
      <c r="A227" s="5">
        <v>196</v>
      </c>
      <c r="B227" s="8" t="s">
        <v>16</v>
      </c>
      <c r="C227" s="5" t="str">
        <f>HYPERLINK("http://data.overheid.nl/data/dataset/provinciale-verordening-2009-waterbergingsgebied","Provinciale Verordening 2009 - Waterbergingsgebied")</f>
        <v>Provinciale Verordening 2009 - Waterbergingsgebied</v>
      </c>
      <c r="D227" s="8" t="s">
        <v>17</v>
      </c>
      <c r="E227" s="5" t="s">
        <v>18</v>
      </c>
      <c r="F227" s="2" t="s">
        <v>372</v>
      </c>
      <c r="G227" s="5" t="s">
        <v>208</v>
      </c>
      <c r="H227" s="8" t="s">
        <v>21</v>
      </c>
      <c r="I227" s="5" t="s">
        <v>22</v>
      </c>
      <c r="J227" s="4" t="s">
        <v>23</v>
      </c>
      <c r="K227" s="3" t="s">
        <v>19</v>
      </c>
      <c r="L227" s="8" t="s">
        <v>24</v>
      </c>
      <c r="M227" s="5" t="s">
        <v>25</v>
      </c>
      <c r="N227" s="2" t="s">
        <v>26</v>
      </c>
      <c r="O227" s="5">
        <v>2</v>
      </c>
      <c r="P227" s="2"/>
      <c r="Q227" s="5"/>
    </row>
    <row r="228" spans="1:17" ht="15.5">
      <c r="A228" s="5">
        <v>197</v>
      </c>
      <c r="B228" s="8" t="s">
        <v>16</v>
      </c>
      <c r="C228" s="5" t="str">
        <f>HYPERLINK("http://data.overheid.nl/data/dataset/provinciale-verordening-2009-utrechtse-heuvelrug","Provinciale Verordening 2009 - Utrechtse Heuvelrug")</f>
        <v>Provinciale Verordening 2009 - Utrechtse Heuvelrug</v>
      </c>
      <c r="D228" s="8" t="s">
        <v>17</v>
      </c>
      <c r="E228" s="5" t="s">
        <v>18</v>
      </c>
      <c r="F228" s="2" t="s">
        <v>372</v>
      </c>
      <c r="G228" s="5" t="s">
        <v>209</v>
      </c>
      <c r="H228" s="8" t="s">
        <v>21</v>
      </c>
      <c r="I228" s="5" t="s">
        <v>22</v>
      </c>
      <c r="J228" s="4" t="s">
        <v>23</v>
      </c>
      <c r="K228" s="3" t="s">
        <v>19</v>
      </c>
      <c r="L228" s="8" t="s">
        <v>24</v>
      </c>
      <c r="M228" s="5" t="s">
        <v>25</v>
      </c>
      <c r="N228" s="2" t="s">
        <v>26</v>
      </c>
      <c r="O228" s="5">
        <v>2</v>
      </c>
      <c r="P228" s="2"/>
      <c r="Q228" s="5"/>
    </row>
    <row r="229" spans="1:17" ht="108.5">
      <c r="A229" s="5">
        <v>198</v>
      </c>
      <c r="B229" s="8" t="s">
        <v>16</v>
      </c>
      <c r="C229" s="5" t="str">
        <f>HYPERLINK("http://data.overheid.nl/data/dataset/homogene-gebieden-gebaseerd-op-bodemtype-en-grondwaterstanden","Homogene gebieden gebaseerd op bodemtype en grondwaterstanden")</f>
        <v>Homogene gebieden gebaseerd op bodemtype en grondwaterstanden</v>
      </c>
      <c r="D229" s="8" t="s">
        <v>17</v>
      </c>
      <c r="E229" s="5" t="s">
        <v>18</v>
      </c>
      <c r="F229" s="2" t="s">
        <v>372</v>
      </c>
      <c r="G229" s="5" t="s">
        <v>210</v>
      </c>
      <c r="H229" s="8" t="s">
        <v>21</v>
      </c>
      <c r="I229" s="5" t="s">
        <v>22</v>
      </c>
      <c r="J229" s="4" t="s">
        <v>23</v>
      </c>
      <c r="K229" s="3" t="s">
        <v>19</v>
      </c>
      <c r="L229" s="8" t="s">
        <v>24</v>
      </c>
      <c r="M229" s="5" t="s">
        <v>25</v>
      </c>
      <c r="N229" s="2" t="s">
        <v>26</v>
      </c>
      <c r="O229" s="5">
        <v>2</v>
      </c>
      <c r="P229" s="2"/>
      <c r="Q229" s="5"/>
    </row>
    <row r="230" spans="1:17" ht="77.5">
      <c r="A230" s="5">
        <v>199</v>
      </c>
      <c r="B230" s="8" t="s">
        <v>16</v>
      </c>
      <c r="C230" s="5" t="str">
        <f>HYPERLINK("http://data.overheid.nl/data/dataset/belaste-woningen-pm10-veehouderijen","Belaste woningen PM10 - veehouderijen")</f>
        <v>Belaste woningen PM10 - veehouderijen</v>
      </c>
      <c r="D230" s="8" t="s">
        <v>17</v>
      </c>
      <c r="E230" s="5" t="s">
        <v>18</v>
      </c>
      <c r="F230" s="2" t="s">
        <v>372</v>
      </c>
      <c r="G230" s="5" t="s">
        <v>211</v>
      </c>
      <c r="H230" s="8" t="s">
        <v>21</v>
      </c>
      <c r="I230" s="5" t="s">
        <v>22</v>
      </c>
      <c r="J230" s="4" t="s">
        <v>23</v>
      </c>
      <c r="K230" s="3" t="s">
        <v>19</v>
      </c>
      <c r="L230" s="8" t="s">
        <v>24</v>
      </c>
      <c r="M230" s="5" t="s">
        <v>25</v>
      </c>
      <c r="N230" s="2" t="s">
        <v>26</v>
      </c>
      <c r="O230" s="5">
        <v>2</v>
      </c>
      <c r="P230" s="2"/>
      <c r="Q230" s="5"/>
    </row>
    <row r="231" spans="1:17" ht="93">
      <c r="A231" s="5">
        <v>200</v>
      </c>
      <c r="B231" s="8" t="s">
        <v>16</v>
      </c>
      <c r="C231" s="5" t="str">
        <f>HYPERLINK("http://data.overheid.nl/data/dataset/ges-contouren-pm10-veehouderijen","GES-contouren PM10 - veehouderijen")</f>
        <v>GES-contouren PM10 - veehouderijen</v>
      </c>
      <c r="D231" s="8" t="s">
        <v>17</v>
      </c>
      <c r="E231" s="5" t="s">
        <v>18</v>
      </c>
      <c r="F231" s="2" t="s">
        <v>372</v>
      </c>
      <c r="G231" s="5" t="s">
        <v>212</v>
      </c>
      <c r="H231" s="8" t="s">
        <v>21</v>
      </c>
      <c r="I231" s="5" t="s">
        <v>22</v>
      </c>
      <c r="J231" s="4" t="s">
        <v>23</v>
      </c>
      <c r="K231" s="3" t="s">
        <v>19</v>
      </c>
      <c r="L231" s="8" t="s">
        <v>24</v>
      </c>
      <c r="M231" s="5" t="s">
        <v>25</v>
      </c>
      <c r="N231" s="2" t="s">
        <v>26</v>
      </c>
      <c r="O231" s="5">
        <v>2</v>
      </c>
      <c r="P231" s="2"/>
      <c r="Q231" s="5"/>
    </row>
    <row r="232" spans="1:17" ht="77.5">
      <c r="A232" s="5">
        <v>201</v>
      </c>
      <c r="B232" s="8" t="s">
        <v>16</v>
      </c>
      <c r="C232" s="5" t="str">
        <f>HYPERLINK("http://data.overheid.nl/data/dataset/belaste-woningen-pm10-wegen","Belaste woningen PM10 - wegen")</f>
        <v>Belaste woningen PM10 - wegen</v>
      </c>
      <c r="D232" s="8" t="s">
        <v>17</v>
      </c>
      <c r="E232" s="5" t="s">
        <v>18</v>
      </c>
      <c r="F232" s="2" t="s">
        <v>372</v>
      </c>
      <c r="G232" s="5" t="s">
        <v>213</v>
      </c>
      <c r="H232" s="8" t="s">
        <v>21</v>
      </c>
      <c r="I232" s="5" t="s">
        <v>22</v>
      </c>
      <c r="J232" s="4" t="s">
        <v>23</v>
      </c>
      <c r="K232" s="3" t="s">
        <v>19</v>
      </c>
      <c r="L232" s="8" t="s">
        <v>24</v>
      </c>
      <c r="M232" s="5" t="s">
        <v>25</v>
      </c>
      <c r="N232" s="2" t="s">
        <v>26</v>
      </c>
      <c r="O232" s="5">
        <v>4</v>
      </c>
      <c r="P232" s="2"/>
      <c r="Q232" s="5"/>
    </row>
    <row r="233" spans="1:17" ht="77.5">
      <c r="A233" s="5">
        <v>202</v>
      </c>
      <c r="B233" s="8" t="s">
        <v>16</v>
      </c>
      <c r="C233" s="5" t="str">
        <f>HYPERLINK("http://data.overheid.nl/data/dataset/gevoelige-bestemmingen-pm-2-5-wegverkeer","Gevoelige bestemmingen PM 2,5 wegverkeer")</f>
        <v>Gevoelige bestemmingen PM 2,5 wegverkeer</v>
      </c>
      <c r="D233" s="8" t="s">
        <v>17</v>
      </c>
      <c r="E233" s="5" t="s">
        <v>18</v>
      </c>
      <c r="F233" s="2" t="s">
        <v>372</v>
      </c>
      <c r="G233" s="5" t="s">
        <v>214</v>
      </c>
      <c r="H233" s="8" t="s">
        <v>21</v>
      </c>
      <c r="I233" s="5" t="s">
        <v>22</v>
      </c>
      <c r="J233" s="4" t="s">
        <v>23</v>
      </c>
      <c r="K233" s="3" t="s">
        <v>19</v>
      </c>
      <c r="L233" s="8" t="s">
        <v>24</v>
      </c>
      <c r="M233" s="5" t="s">
        <v>25</v>
      </c>
      <c r="N233" s="2" t="s">
        <v>26</v>
      </c>
      <c r="O233" s="5">
        <v>2</v>
      </c>
      <c r="P233" s="2"/>
      <c r="Q233" s="5"/>
    </row>
    <row r="234" spans="1:17" ht="31">
      <c r="A234" s="5">
        <v>203</v>
      </c>
      <c r="B234" s="8" t="s">
        <v>16</v>
      </c>
      <c r="C234" s="5" t="str">
        <f>HYPERLINK("http://data.overheid.nl/data/dataset/provinciaal-arbeidsplaatsen-register-par-01","Provinciaal Arbeidsplaatsen Register (PAR)")</f>
        <v>Provinciaal Arbeidsplaatsen Register (PAR)</v>
      </c>
      <c r="D234" s="8" t="s">
        <v>17</v>
      </c>
      <c r="E234" s="5" t="s">
        <v>18</v>
      </c>
      <c r="F234" s="2" t="s">
        <v>372</v>
      </c>
      <c r="G234" s="5" t="s">
        <v>215</v>
      </c>
      <c r="H234" s="8" t="s">
        <v>21</v>
      </c>
      <c r="I234" s="5" t="s">
        <v>22</v>
      </c>
      <c r="J234" s="4" t="s">
        <v>23</v>
      </c>
      <c r="K234" s="3" t="s">
        <v>19</v>
      </c>
      <c r="L234" s="8" t="s">
        <v>24</v>
      </c>
      <c r="M234" s="5" t="s">
        <v>25</v>
      </c>
      <c r="N234" s="2" t="s">
        <v>26</v>
      </c>
      <c r="O234" s="5">
        <v>33</v>
      </c>
      <c r="P234" s="2"/>
      <c r="Q234" s="5"/>
    </row>
    <row r="235" spans="1:17" ht="15.5">
      <c r="A235" s="5">
        <v>204</v>
      </c>
      <c r="B235" s="8" t="s">
        <v>16</v>
      </c>
      <c r="C235" s="5" t="str">
        <f>HYPERLINK("http://data.overheid.nl/data/dataset/werklocaties-kantoren","Werklocaties - kantoren")</f>
        <v>Werklocaties - kantoren</v>
      </c>
      <c r="D235" s="8" t="s">
        <v>17</v>
      </c>
      <c r="E235" s="5" t="s">
        <v>18</v>
      </c>
      <c r="F235" s="2" t="s">
        <v>372</v>
      </c>
      <c r="G235" s="5" t="s">
        <v>216</v>
      </c>
      <c r="H235" s="8" t="s">
        <v>21</v>
      </c>
      <c r="I235" s="5" t="s">
        <v>22</v>
      </c>
      <c r="J235" s="4" t="s">
        <v>23</v>
      </c>
      <c r="K235" s="3" t="s">
        <v>19</v>
      </c>
      <c r="L235" s="8" t="s">
        <v>24</v>
      </c>
      <c r="M235" s="5" t="s">
        <v>25</v>
      </c>
      <c r="N235" s="2" t="s">
        <v>26</v>
      </c>
      <c r="O235" s="5">
        <v>3</v>
      </c>
      <c r="P235" s="2"/>
      <c r="Q235" s="5"/>
    </row>
    <row r="236" spans="1:17" ht="31">
      <c r="A236" s="5">
        <v>205</v>
      </c>
      <c r="B236" s="8" t="s">
        <v>16</v>
      </c>
      <c r="C236" s="5" t="str">
        <f>HYPERLINK("http://data.overheid.nl/data/dataset/stiltegebieden-01-02-03","Stiltegebieden")</f>
        <v>Stiltegebieden</v>
      </c>
      <c r="D236" s="8" t="s">
        <v>17</v>
      </c>
      <c r="E236" s="5" t="s">
        <v>18</v>
      </c>
      <c r="F236" s="2" t="s">
        <v>372</v>
      </c>
      <c r="G236" s="5" t="s">
        <v>217</v>
      </c>
      <c r="H236" s="8" t="s">
        <v>21</v>
      </c>
      <c r="I236" s="5" t="s">
        <v>22</v>
      </c>
      <c r="J236" s="4" t="s">
        <v>23</v>
      </c>
      <c r="K236" s="3" t="s">
        <v>19</v>
      </c>
      <c r="L236" s="8" t="s">
        <v>24</v>
      </c>
      <c r="M236" s="5" t="s">
        <v>25</v>
      </c>
      <c r="N236" s="2" t="s">
        <v>26</v>
      </c>
      <c r="O236" s="5">
        <v>2</v>
      </c>
      <c r="P236" s="2"/>
      <c r="Q236" s="5"/>
    </row>
    <row r="237" spans="1:17" ht="31">
      <c r="A237" s="5">
        <v>206</v>
      </c>
      <c r="B237" s="8" t="s">
        <v>16</v>
      </c>
      <c r="C237" s="5" t="str">
        <f>HYPERLINK("http://data.overheid.nl/data/dataset/militair-terrein-met-natuurwaarden","Militair terrein met natuurwaarden")</f>
        <v>Militair terrein met natuurwaarden</v>
      </c>
      <c r="D237" s="8" t="s">
        <v>17</v>
      </c>
      <c r="E237" s="5" t="s">
        <v>18</v>
      </c>
      <c r="F237" s="2" t="s">
        <v>372</v>
      </c>
      <c r="G237" s="5" t="s">
        <v>218</v>
      </c>
      <c r="H237" s="8" t="s">
        <v>21</v>
      </c>
      <c r="I237" s="5" t="s">
        <v>22</v>
      </c>
      <c r="J237" s="4" t="s">
        <v>23</v>
      </c>
      <c r="K237" s="3" t="s">
        <v>19</v>
      </c>
      <c r="L237" s="8" t="s">
        <v>24</v>
      </c>
      <c r="M237" s="5" t="s">
        <v>25</v>
      </c>
      <c r="N237" s="2" t="s">
        <v>26</v>
      </c>
      <c r="O237" s="5">
        <v>2</v>
      </c>
      <c r="P237" s="2"/>
      <c r="Q237" s="5"/>
    </row>
    <row r="238" spans="1:17" ht="15.5">
      <c r="A238" s="5">
        <v>207</v>
      </c>
      <c r="B238" s="8" t="s">
        <v>16</v>
      </c>
      <c r="C238" s="5" t="str">
        <f>HYPERLINK("http://data.overheid.nl/data/dataset/prv-kaart-5-verkeer-en-vervoer-01","PRV kaart 5 Verkeer en vervoer")</f>
        <v>PRV kaart 5 Verkeer en vervoer</v>
      </c>
      <c r="D238" s="8" t="s">
        <v>17</v>
      </c>
      <c r="E238" s="5" t="s">
        <v>18</v>
      </c>
      <c r="F238" s="2" t="s">
        <v>372</v>
      </c>
      <c r="G238" s="5" t="s">
        <v>219</v>
      </c>
      <c r="H238" s="8" t="s">
        <v>21</v>
      </c>
      <c r="I238" s="5" t="s">
        <v>22</v>
      </c>
      <c r="J238" s="4" t="s">
        <v>23</v>
      </c>
      <c r="K238" s="3" t="s">
        <v>19</v>
      </c>
      <c r="L238" s="8" t="s">
        <v>24</v>
      </c>
      <c r="M238" s="5" t="s">
        <v>25</v>
      </c>
      <c r="N238" s="2" t="s">
        <v>26</v>
      </c>
      <c r="O238" s="5">
        <v>1</v>
      </c>
      <c r="P238" s="2"/>
      <c r="Q238" s="5"/>
    </row>
    <row r="239" spans="1:17" ht="15.5">
      <c r="A239" s="5">
        <v>208</v>
      </c>
      <c r="B239" s="8" t="s">
        <v>16</v>
      </c>
      <c r="C239" s="5" t="str">
        <f>HYPERLINK("http://data.overheid.nl/data/dataset/prv-kaart-3-cultuurhistorie","PRV kaart 3 Cultuurhistorie")</f>
        <v>PRV kaart 3 Cultuurhistorie</v>
      </c>
      <c r="D239" s="8" t="s">
        <v>17</v>
      </c>
      <c r="E239" s="5" t="s">
        <v>18</v>
      </c>
      <c r="F239" s="2" t="s">
        <v>372</v>
      </c>
      <c r="G239" s="5" t="s">
        <v>220</v>
      </c>
      <c r="H239" s="8" t="s">
        <v>21</v>
      </c>
      <c r="I239" s="5" t="s">
        <v>22</v>
      </c>
      <c r="J239" s="4" t="s">
        <v>23</v>
      </c>
      <c r="K239" s="3" t="s">
        <v>19</v>
      </c>
      <c r="L239" s="8" t="s">
        <v>24</v>
      </c>
      <c r="M239" s="5" t="s">
        <v>25</v>
      </c>
      <c r="N239" s="2" t="s">
        <v>26</v>
      </c>
      <c r="O239" s="5">
        <v>1</v>
      </c>
      <c r="P239" s="2"/>
      <c r="Q239" s="5"/>
    </row>
    <row r="240" spans="1:17" ht="62">
      <c r="A240" s="5">
        <v>209</v>
      </c>
      <c r="B240" s="8" t="s">
        <v>16</v>
      </c>
      <c r="C240" s="5" t="str">
        <f>HYPERLINK("http://data.overheid.nl/data/dataset/prs-kaart-4-cutuurhistorie","PRS kaart 4 Cutuurhistorie")</f>
        <v>PRS kaart 4 Cutuurhistorie</v>
      </c>
      <c r="D240" s="8" t="s">
        <v>17</v>
      </c>
      <c r="E240" s="5" t="s">
        <v>18</v>
      </c>
      <c r="F240" s="2" t="s">
        <v>372</v>
      </c>
      <c r="G240" s="5" t="s">
        <v>221</v>
      </c>
      <c r="H240" s="8" t="s">
        <v>21</v>
      </c>
      <c r="I240" s="5" t="s">
        <v>22</v>
      </c>
      <c r="J240" s="4" t="s">
        <v>23</v>
      </c>
      <c r="K240" s="3" t="s">
        <v>19</v>
      </c>
      <c r="L240" s="8" t="s">
        <v>24</v>
      </c>
      <c r="M240" s="5" t="s">
        <v>25</v>
      </c>
      <c r="N240" s="2" t="s">
        <v>26</v>
      </c>
      <c r="O240" s="5">
        <v>1</v>
      </c>
      <c r="P240" s="2"/>
      <c r="Q240" s="5"/>
    </row>
    <row r="241" spans="1:17" ht="77.5">
      <c r="A241" s="5">
        <v>210</v>
      </c>
      <c r="B241" s="8" t="s">
        <v>16</v>
      </c>
      <c r="C241" s="5" t="str">
        <f>HYPERLINK("http://data.overheid.nl/data/dataset/prs-kaart-3-klimaat-gezondheid-en-veiligheid","PRS Kaart 3 Klimaat, gezondheid en veiligheid")</f>
        <v>PRS Kaart 3 Klimaat, gezondheid en veiligheid</v>
      </c>
      <c r="D241" s="8" t="s">
        <v>17</v>
      </c>
      <c r="E241" s="5" t="s">
        <v>18</v>
      </c>
      <c r="F241" s="2" t="s">
        <v>372</v>
      </c>
      <c r="G241" s="5" t="s">
        <v>222</v>
      </c>
      <c r="H241" s="8" t="s">
        <v>21</v>
      </c>
      <c r="I241" s="5" t="s">
        <v>22</v>
      </c>
      <c r="J241" s="4" t="s">
        <v>23</v>
      </c>
      <c r="K241" s="3" t="s">
        <v>19</v>
      </c>
      <c r="L241" s="8" t="s">
        <v>24</v>
      </c>
      <c r="M241" s="5" t="s">
        <v>25</v>
      </c>
      <c r="N241" s="2" t="s">
        <v>26</v>
      </c>
      <c r="O241" s="5">
        <v>1</v>
      </c>
      <c r="P241" s="2"/>
      <c r="Q241" s="5"/>
    </row>
    <row r="242" spans="1:17" ht="15.5">
      <c r="A242" s="5">
        <v>211</v>
      </c>
      <c r="B242" s="8" t="s">
        <v>16</v>
      </c>
      <c r="C242" s="5" t="str">
        <f>HYPERLINK("http://data.overheid.nl/data/dataset/prv-kaart-2-duurzame-energie-01","PRV kaart 2 Duurzame energie")</f>
        <v>PRV kaart 2 Duurzame energie</v>
      </c>
      <c r="D242" s="8" t="s">
        <v>17</v>
      </c>
      <c r="E242" s="5" t="s">
        <v>18</v>
      </c>
      <c r="F242" s="2" t="s">
        <v>372</v>
      </c>
      <c r="G242" s="5" t="s">
        <v>223</v>
      </c>
      <c r="H242" s="8" t="s">
        <v>21</v>
      </c>
      <c r="I242" s="5" t="s">
        <v>22</v>
      </c>
      <c r="J242" s="4" t="s">
        <v>23</v>
      </c>
      <c r="K242" s="3" t="s">
        <v>19</v>
      </c>
      <c r="L242" s="8" t="s">
        <v>24</v>
      </c>
      <c r="M242" s="5" t="s">
        <v>25</v>
      </c>
      <c r="N242" s="2" t="s">
        <v>26</v>
      </c>
      <c r="O242" s="5">
        <v>1</v>
      </c>
      <c r="P242" s="2"/>
      <c r="Q242" s="5"/>
    </row>
    <row r="243" spans="1:17" ht="77.5">
      <c r="A243" s="5">
        <v>212</v>
      </c>
      <c r="B243" s="8" t="s">
        <v>16</v>
      </c>
      <c r="C243" s="5" t="str">
        <f>HYPERLINK("http://data.overheid.nl/data/dataset/ecologische-hoofdstructuur-ehs","Ecologische Hoofdstructuur (EHS)")</f>
        <v>Ecologische Hoofdstructuur (EHS)</v>
      </c>
      <c r="D243" s="8" t="s">
        <v>17</v>
      </c>
      <c r="E243" s="5" t="s">
        <v>18</v>
      </c>
      <c r="F243" s="2" t="s">
        <v>372</v>
      </c>
      <c r="G243" s="5" t="s">
        <v>224</v>
      </c>
      <c r="H243" s="8" t="s">
        <v>21</v>
      </c>
      <c r="I243" s="5" t="s">
        <v>22</v>
      </c>
      <c r="J243" s="4" t="s">
        <v>23</v>
      </c>
      <c r="K243" s="3" t="s">
        <v>19</v>
      </c>
      <c r="L243" s="8" t="s">
        <v>24</v>
      </c>
      <c r="M243" s="5" t="s">
        <v>25</v>
      </c>
      <c r="N243" s="2" t="s">
        <v>26</v>
      </c>
      <c r="O243" s="5">
        <v>2</v>
      </c>
      <c r="P243" s="2"/>
      <c r="Q243" s="5"/>
    </row>
    <row r="244" spans="1:17" ht="124">
      <c r="A244" s="5">
        <v>214</v>
      </c>
      <c r="B244" s="8" t="s">
        <v>16</v>
      </c>
      <c r="C244" s="5" t="str">
        <f>HYPERLINK("http://data.overheid.nl/data/dataset/prs-kaart-10-natuur-01","PRS Kaart 10 Natuur")</f>
        <v>PRS Kaart 10 Natuur</v>
      </c>
      <c r="D244" s="8" t="s">
        <v>17</v>
      </c>
      <c r="E244" s="5" t="s">
        <v>18</v>
      </c>
      <c r="F244" s="2" t="s">
        <v>372</v>
      </c>
      <c r="G244" s="5" t="s">
        <v>226</v>
      </c>
      <c r="H244" s="8" t="s">
        <v>21</v>
      </c>
      <c r="I244" s="5" t="s">
        <v>22</v>
      </c>
      <c r="J244" s="4" t="s">
        <v>23</v>
      </c>
      <c r="K244" s="3" t="s">
        <v>19</v>
      </c>
      <c r="L244" s="8" t="s">
        <v>24</v>
      </c>
      <c r="M244" s="5" t="s">
        <v>25</v>
      </c>
      <c r="N244" s="2" t="s">
        <v>26</v>
      </c>
      <c r="O244" s="5">
        <v>1</v>
      </c>
      <c r="P244" s="2"/>
      <c r="Q244" s="5"/>
    </row>
    <row r="245" spans="1:17" ht="15.5">
      <c r="A245" s="5">
        <v>216</v>
      </c>
      <c r="B245" s="8" t="s">
        <v>16</v>
      </c>
      <c r="C245" s="5" t="str">
        <f>HYPERLINK("http://data.overheid.nl/data/dataset/prv-kaart-4-wonen-en-werken-01","PRV kaart 4 Wonen en werken")</f>
        <v>PRV kaart 4 Wonen en werken</v>
      </c>
      <c r="D245" s="8" t="s">
        <v>17</v>
      </c>
      <c r="E245" s="5" t="s">
        <v>18</v>
      </c>
      <c r="F245" s="2" t="s">
        <v>372</v>
      </c>
      <c r="G245" s="5" t="s">
        <v>228</v>
      </c>
      <c r="H245" s="8" t="s">
        <v>21</v>
      </c>
      <c r="I245" s="5" t="s">
        <v>22</v>
      </c>
      <c r="J245" s="4" t="s">
        <v>23</v>
      </c>
      <c r="K245" s="3" t="s">
        <v>19</v>
      </c>
      <c r="L245" s="8" t="s">
        <v>24</v>
      </c>
      <c r="M245" s="5" t="s">
        <v>25</v>
      </c>
      <c r="N245" s="2" t="s">
        <v>26</v>
      </c>
      <c r="O245" s="5">
        <v>1</v>
      </c>
      <c r="P245" s="2"/>
      <c r="Q245" s="5"/>
    </row>
    <row r="246" spans="1:17" ht="15.5">
      <c r="A246" s="5">
        <v>217</v>
      </c>
      <c r="B246" s="8" t="s">
        <v>16</v>
      </c>
      <c r="C246" s="5" t="str">
        <f>HYPERLINK("http://data.overheid.nl/data/dataset/prs-kaart-7-regionale-uitwerking-01","PRS kaart 7 Regionale uitwerking")</f>
        <v>PRS kaart 7 Regionale uitwerking</v>
      </c>
      <c r="D246" s="8" t="s">
        <v>17</v>
      </c>
      <c r="E246" s="5" t="s">
        <v>18</v>
      </c>
      <c r="F246" s="2" t="s">
        <v>372</v>
      </c>
      <c r="G246" s="5" t="s">
        <v>229</v>
      </c>
      <c r="H246" s="8" t="s">
        <v>21</v>
      </c>
      <c r="I246" s="5" t="s">
        <v>22</v>
      </c>
      <c r="J246" s="4" t="s">
        <v>23</v>
      </c>
      <c r="K246" s="3" t="s">
        <v>19</v>
      </c>
      <c r="L246" s="8" t="s">
        <v>24</v>
      </c>
      <c r="M246" s="5" t="s">
        <v>25</v>
      </c>
      <c r="N246" s="2" t="s">
        <v>26</v>
      </c>
      <c r="O246" s="5">
        <v>1</v>
      </c>
      <c r="P246" s="2"/>
      <c r="Q246" s="5"/>
    </row>
    <row r="247" spans="1:17" ht="77.5">
      <c r="A247" s="5">
        <v>218</v>
      </c>
      <c r="B247" s="8" t="s">
        <v>16</v>
      </c>
      <c r="C247" s="5" t="str">
        <f>HYPERLINK("http://data.overheid.nl/data/dataset/groene-contour","Groene contour")</f>
        <v>Groene contour</v>
      </c>
      <c r="D247" s="8" t="s">
        <v>17</v>
      </c>
      <c r="E247" s="5" t="s">
        <v>18</v>
      </c>
      <c r="F247" s="2" t="s">
        <v>372</v>
      </c>
      <c r="G247" s="5" t="s">
        <v>230</v>
      </c>
      <c r="H247" s="8" t="s">
        <v>21</v>
      </c>
      <c r="I247" s="5" t="s">
        <v>22</v>
      </c>
      <c r="J247" s="4" t="s">
        <v>23</v>
      </c>
      <c r="K247" s="3" t="s">
        <v>19</v>
      </c>
      <c r="L247" s="8" t="s">
        <v>24</v>
      </c>
      <c r="M247" s="5" t="s">
        <v>25</v>
      </c>
      <c r="N247" s="2" t="s">
        <v>26</v>
      </c>
      <c r="O247" s="5">
        <v>2</v>
      </c>
      <c r="P247" s="2"/>
      <c r="Q247" s="5"/>
    </row>
    <row r="248" spans="1:17" ht="93">
      <c r="A248" s="5">
        <v>219</v>
      </c>
      <c r="B248" s="8" t="s">
        <v>16</v>
      </c>
      <c r="C248" s="5" t="str">
        <f>HYPERLINK("http://data.overheid.nl/data/dataset/prs-kaart-5-wonen-en-werken-01","PRS kaart 5 Wonen en werken")</f>
        <v>PRS kaart 5 Wonen en werken</v>
      </c>
      <c r="D248" s="8" t="s">
        <v>17</v>
      </c>
      <c r="E248" s="5" t="s">
        <v>18</v>
      </c>
      <c r="F248" s="2" t="s">
        <v>372</v>
      </c>
      <c r="G248" s="5" t="s">
        <v>231</v>
      </c>
      <c r="H248" s="8" t="s">
        <v>21</v>
      </c>
      <c r="I248" s="5" t="s">
        <v>22</v>
      </c>
      <c r="J248" s="4" t="s">
        <v>23</v>
      </c>
      <c r="K248" s="3" t="s">
        <v>19</v>
      </c>
      <c r="L248" s="8" t="s">
        <v>24</v>
      </c>
      <c r="M248" s="5" t="s">
        <v>25</v>
      </c>
      <c r="N248" s="2" t="s">
        <v>26</v>
      </c>
      <c r="O248" s="5">
        <v>1</v>
      </c>
      <c r="P248" s="2"/>
      <c r="Q248" s="5"/>
    </row>
    <row r="249" spans="1:17" ht="15.5">
      <c r="A249" s="5">
        <v>220</v>
      </c>
      <c r="B249" s="8" t="s">
        <v>16</v>
      </c>
      <c r="C249" s="5" t="str">
        <f>HYPERLINK("http://data.overheid.nl/data/dataset/prv-kaart-8-natuur","PRV kaart 8 Natuur")</f>
        <v>PRV kaart 8 Natuur</v>
      </c>
      <c r="D249" s="8" t="s">
        <v>17</v>
      </c>
      <c r="E249" s="5" t="s">
        <v>18</v>
      </c>
      <c r="F249" s="2" t="s">
        <v>372</v>
      </c>
      <c r="G249" s="5" t="s">
        <v>232</v>
      </c>
      <c r="H249" s="8" t="s">
        <v>21</v>
      </c>
      <c r="I249" s="5" t="s">
        <v>22</v>
      </c>
      <c r="J249" s="4" t="s">
        <v>23</v>
      </c>
      <c r="K249" s="3" t="s">
        <v>19</v>
      </c>
      <c r="L249" s="8" t="s">
        <v>24</v>
      </c>
      <c r="M249" s="5" t="s">
        <v>25</v>
      </c>
      <c r="N249" s="2" t="s">
        <v>26</v>
      </c>
      <c r="O249" s="5">
        <v>1</v>
      </c>
      <c r="P249" s="2"/>
      <c r="Q249" s="5"/>
    </row>
    <row r="250" spans="1:17" ht="46.5">
      <c r="A250" s="5">
        <v>221</v>
      </c>
      <c r="B250" s="8" t="s">
        <v>16</v>
      </c>
      <c r="C250" s="5" t="str">
        <f>HYPERLINK("http://data.overheid.nl/data/dataset/prs-kaart-8-landelijk-gebied-01","PRS kaart 8 Landelijk gebied")</f>
        <v>PRS kaart 8 Landelijk gebied</v>
      </c>
      <c r="D250" s="8" t="s">
        <v>17</v>
      </c>
      <c r="E250" s="5" t="s">
        <v>18</v>
      </c>
      <c r="F250" s="2" t="s">
        <v>372</v>
      </c>
      <c r="G250" s="5" t="s">
        <v>233</v>
      </c>
      <c r="H250" s="8" t="s">
        <v>21</v>
      </c>
      <c r="I250" s="5" t="s">
        <v>22</v>
      </c>
      <c r="J250" s="4" t="s">
        <v>23</v>
      </c>
      <c r="K250" s="3" t="s">
        <v>19</v>
      </c>
      <c r="L250" s="8" t="s">
        <v>24</v>
      </c>
      <c r="M250" s="5" t="s">
        <v>25</v>
      </c>
      <c r="N250" s="2" t="s">
        <v>26</v>
      </c>
      <c r="O250" s="5">
        <v>1</v>
      </c>
      <c r="P250" s="2"/>
      <c r="Q250" s="5"/>
    </row>
    <row r="251" spans="1:17" ht="15.5">
      <c r="A251" s="5">
        <v>222</v>
      </c>
      <c r="B251" s="8" t="s">
        <v>16</v>
      </c>
      <c r="C251" s="5" t="str">
        <f>HYPERLINK("http://data.overheid.nl/data/dataset/prv-kaart-9-recreatie-01","PRV kaart 9 Recreatie")</f>
        <v>PRV kaart 9 Recreatie</v>
      </c>
      <c r="D251" s="8" t="s">
        <v>17</v>
      </c>
      <c r="E251" s="5" t="s">
        <v>18</v>
      </c>
      <c r="F251" s="2" t="s">
        <v>372</v>
      </c>
      <c r="G251" s="5" t="s">
        <v>234</v>
      </c>
      <c r="H251" s="8" t="s">
        <v>21</v>
      </c>
      <c r="I251" s="5" t="s">
        <v>22</v>
      </c>
      <c r="J251" s="4" t="s">
        <v>23</v>
      </c>
      <c r="K251" s="3" t="s">
        <v>19</v>
      </c>
      <c r="L251" s="8" t="s">
        <v>24</v>
      </c>
      <c r="M251" s="5" t="s">
        <v>25</v>
      </c>
      <c r="N251" s="2" t="s">
        <v>26</v>
      </c>
      <c r="O251" s="5">
        <v>1</v>
      </c>
      <c r="P251" s="2"/>
      <c r="Q251" s="5"/>
    </row>
    <row r="252" spans="1:17" ht="15.5">
      <c r="A252" s="5">
        <v>223</v>
      </c>
      <c r="B252" s="8" t="s">
        <v>16</v>
      </c>
      <c r="C252" s="5" t="str">
        <f>HYPERLINK("http://data.overheid.nl/data/dataset/prv-kaart-10-landbouw","PRV kaart 10 Landbouw")</f>
        <v>PRV kaart 10 Landbouw</v>
      </c>
      <c r="D252" s="8" t="s">
        <v>17</v>
      </c>
      <c r="E252" s="5" t="s">
        <v>18</v>
      </c>
      <c r="F252" s="2" t="s">
        <v>372</v>
      </c>
      <c r="G252" s="5" t="s">
        <v>235</v>
      </c>
      <c r="H252" s="8" t="s">
        <v>21</v>
      </c>
      <c r="I252" s="5" t="s">
        <v>22</v>
      </c>
      <c r="J252" s="4" t="s">
        <v>23</v>
      </c>
      <c r="K252" s="3" t="s">
        <v>19</v>
      </c>
      <c r="L252" s="8" t="s">
        <v>24</v>
      </c>
      <c r="M252" s="5" t="s">
        <v>25</v>
      </c>
      <c r="N252" s="2" t="s">
        <v>26</v>
      </c>
      <c r="O252" s="5">
        <v>1</v>
      </c>
      <c r="P252" s="2"/>
      <c r="Q252" s="5"/>
    </row>
    <row r="253" spans="1:17" ht="31">
      <c r="A253" s="5">
        <v>224</v>
      </c>
      <c r="B253" s="8" t="s">
        <v>16</v>
      </c>
      <c r="C253" s="5" t="str">
        <f>HYPERLINK("http://data.overheid.nl/data/dataset/prs-kaart-12-reconstructie-01","PRS kaart 12 Reconstructie")</f>
        <v>PRS kaart 12 Reconstructie</v>
      </c>
      <c r="D253" s="8" t="s">
        <v>17</v>
      </c>
      <c r="E253" s="5" t="s">
        <v>18</v>
      </c>
      <c r="F253" s="2" t="s">
        <v>372</v>
      </c>
      <c r="G253" s="5" t="s">
        <v>236</v>
      </c>
      <c r="H253" s="8" t="s">
        <v>21</v>
      </c>
      <c r="I253" s="5" t="s">
        <v>22</v>
      </c>
      <c r="J253" s="4" t="s">
        <v>23</v>
      </c>
      <c r="K253" s="3" t="s">
        <v>19</v>
      </c>
      <c r="L253" s="8" t="s">
        <v>24</v>
      </c>
      <c r="M253" s="5" t="s">
        <v>25</v>
      </c>
      <c r="N253" s="2" t="s">
        <v>26</v>
      </c>
      <c r="O253" s="5">
        <v>1</v>
      </c>
      <c r="P253" s="2"/>
      <c r="Q253" s="5"/>
    </row>
    <row r="254" spans="1:17" ht="46.5">
      <c r="A254" s="5">
        <v>225</v>
      </c>
      <c r="B254" s="8" t="s">
        <v>16</v>
      </c>
      <c r="C254" s="5" t="str">
        <f>HYPERLINK("http://data.overheid.nl/data/dataset/prs-kaart-11-landbouw","PRS kaart 11 Landbouw")</f>
        <v>PRS kaart 11 Landbouw</v>
      </c>
      <c r="D254" s="8" t="s">
        <v>17</v>
      </c>
      <c r="E254" s="5" t="s">
        <v>18</v>
      </c>
      <c r="F254" s="2" t="s">
        <v>372</v>
      </c>
      <c r="G254" s="5" t="s">
        <v>237</v>
      </c>
      <c r="H254" s="8" t="s">
        <v>21</v>
      </c>
      <c r="I254" s="5" t="s">
        <v>22</v>
      </c>
      <c r="J254" s="4" t="s">
        <v>23</v>
      </c>
      <c r="K254" s="3" t="s">
        <v>19</v>
      </c>
      <c r="L254" s="8" t="s">
        <v>24</v>
      </c>
      <c r="M254" s="5" t="s">
        <v>25</v>
      </c>
      <c r="N254" s="2" t="s">
        <v>26</v>
      </c>
      <c r="O254" s="5">
        <v>1</v>
      </c>
      <c r="P254" s="2"/>
      <c r="Q254" s="5"/>
    </row>
    <row r="255" spans="1:17" ht="15.5">
      <c r="A255" s="5">
        <v>226</v>
      </c>
      <c r="B255" s="8" t="s">
        <v>16</v>
      </c>
      <c r="C255" s="5" t="str">
        <f>HYPERLINK("http://data.overheid.nl/data/dataset/prv-kaart-6-landelijk-gebied","PRV kaart 6 Landelijk gebied")</f>
        <v>PRV kaart 6 Landelijk gebied</v>
      </c>
      <c r="D255" s="8" t="s">
        <v>17</v>
      </c>
      <c r="E255" s="5" t="s">
        <v>18</v>
      </c>
      <c r="F255" s="2" t="s">
        <v>372</v>
      </c>
      <c r="G255" s="5" t="s">
        <v>238</v>
      </c>
      <c r="H255" s="8" t="s">
        <v>21</v>
      </c>
      <c r="I255" s="5" t="s">
        <v>22</v>
      </c>
      <c r="J255" s="4" t="s">
        <v>23</v>
      </c>
      <c r="K255" s="3" t="s">
        <v>19</v>
      </c>
      <c r="L255" s="8" t="s">
        <v>24</v>
      </c>
      <c r="M255" s="5" t="s">
        <v>25</v>
      </c>
      <c r="N255" s="2" t="s">
        <v>26</v>
      </c>
      <c r="O255" s="5">
        <v>1</v>
      </c>
      <c r="P255" s="2"/>
      <c r="Q255" s="5"/>
    </row>
    <row r="256" spans="1:17" ht="108.5">
      <c r="A256" s="5">
        <v>228</v>
      </c>
      <c r="B256" s="8" t="s">
        <v>16</v>
      </c>
      <c r="C256" s="5" t="str">
        <f>HYPERLINK("http://data.overheid.nl/data/dataset/moerassen-biotopen","Moerassen (biotopen)")</f>
        <v>Moerassen (biotopen)</v>
      </c>
      <c r="D256" s="8" t="s">
        <v>17</v>
      </c>
      <c r="E256" s="5" t="s">
        <v>18</v>
      </c>
      <c r="F256" s="2" t="s">
        <v>372</v>
      </c>
      <c r="G256" s="5" t="s">
        <v>240</v>
      </c>
      <c r="H256" s="8" t="s">
        <v>21</v>
      </c>
      <c r="I256" s="5" t="s">
        <v>22</v>
      </c>
      <c r="J256" s="4" t="s">
        <v>23</v>
      </c>
      <c r="K256" s="3" t="s">
        <v>19</v>
      </c>
      <c r="L256" s="8" t="s">
        <v>24</v>
      </c>
      <c r="M256" s="5" t="s">
        <v>25</v>
      </c>
      <c r="N256" s="2" t="s">
        <v>26</v>
      </c>
      <c r="O256" s="5">
        <v>2</v>
      </c>
      <c r="P256" s="2"/>
      <c r="Q256" s="5"/>
    </row>
    <row r="257" spans="1:17" ht="108.5">
      <c r="A257" s="5">
        <v>229</v>
      </c>
      <c r="B257" s="8" t="s">
        <v>16</v>
      </c>
      <c r="C257" s="5" t="str">
        <f>HYPERLINK("http://data.overheid.nl/data/dataset/leefgebieden-biotopen-niveau-1","Leefgebieden (biotopen) - niveau 1")</f>
        <v>Leefgebieden (biotopen) - niveau 1</v>
      </c>
      <c r="D257" s="8" t="s">
        <v>17</v>
      </c>
      <c r="E257" s="5" t="s">
        <v>18</v>
      </c>
      <c r="F257" s="2" t="s">
        <v>372</v>
      </c>
      <c r="G257" s="5" t="s">
        <v>240</v>
      </c>
      <c r="H257" s="8" t="s">
        <v>21</v>
      </c>
      <c r="I257" s="5" t="s">
        <v>22</v>
      </c>
      <c r="J257" s="4" t="s">
        <v>23</v>
      </c>
      <c r="K257" s="3" t="s">
        <v>19</v>
      </c>
      <c r="L257" s="8" t="s">
        <v>24</v>
      </c>
      <c r="M257" s="5" t="s">
        <v>25</v>
      </c>
      <c r="N257" s="2" t="s">
        <v>26</v>
      </c>
      <c r="O257" s="5">
        <v>2</v>
      </c>
      <c r="P257" s="2"/>
      <c r="Q257" s="5"/>
    </row>
    <row r="258" spans="1:17" ht="108.5">
      <c r="A258" s="5">
        <v>230</v>
      </c>
      <c r="B258" s="8" t="s">
        <v>16</v>
      </c>
      <c r="C258" s="5" t="str">
        <f>HYPERLINK("http://data.overheid.nl/data/dataset/leefgebieden-biotopen-subbiotopen-vlakken","Leefgebieden (biotopen) - subbiotopen (vlakken)")</f>
        <v>Leefgebieden (biotopen) - subbiotopen (vlakken)</v>
      </c>
      <c r="D258" s="8" t="s">
        <v>17</v>
      </c>
      <c r="E258" s="5" t="s">
        <v>18</v>
      </c>
      <c r="F258" s="2" t="s">
        <v>372</v>
      </c>
      <c r="G258" s="5" t="s">
        <v>240</v>
      </c>
      <c r="H258" s="8" t="s">
        <v>21</v>
      </c>
      <c r="I258" s="5" t="s">
        <v>22</v>
      </c>
      <c r="J258" s="4" t="s">
        <v>23</v>
      </c>
      <c r="K258" s="3" t="s">
        <v>19</v>
      </c>
      <c r="L258" s="8" t="s">
        <v>24</v>
      </c>
      <c r="M258" s="5" t="s">
        <v>25</v>
      </c>
      <c r="N258" s="2" t="s">
        <v>26</v>
      </c>
      <c r="O258" s="5">
        <v>5</v>
      </c>
      <c r="P258" s="2"/>
      <c r="Q258" s="5"/>
    </row>
    <row r="259" spans="1:17" ht="108.5">
      <c r="A259" s="5">
        <v>231</v>
      </c>
      <c r="B259" s="8" t="s">
        <v>16</v>
      </c>
      <c r="C259" s="5" t="str">
        <f>HYPERLINK("http://data.overheid.nl/data/dataset/leefgebieden-biotopen-subbiotopen-punten","Leefgebieden (biotopen) - subbiotopen (punten)")</f>
        <v>Leefgebieden (biotopen) - subbiotopen (punten)</v>
      </c>
      <c r="D259" s="8" t="s">
        <v>17</v>
      </c>
      <c r="E259" s="5" t="s">
        <v>18</v>
      </c>
      <c r="F259" s="2" t="s">
        <v>372</v>
      </c>
      <c r="G259" s="5" t="s">
        <v>240</v>
      </c>
      <c r="H259" s="8" t="s">
        <v>21</v>
      </c>
      <c r="I259" s="5" t="s">
        <v>22</v>
      </c>
      <c r="J259" s="4" t="s">
        <v>23</v>
      </c>
      <c r="K259" s="3" t="s">
        <v>19</v>
      </c>
      <c r="L259" s="8" t="s">
        <v>24</v>
      </c>
      <c r="M259" s="5" t="s">
        <v>25</v>
      </c>
      <c r="N259" s="2" t="s">
        <v>26</v>
      </c>
      <c r="O259" s="5">
        <v>4</v>
      </c>
      <c r="P259" s="2"/>
      <c r="Q259" s="5"/>
    </row>
    <row r="260" spans="1:17" ht="108.5">
      <c r="A260" s="5">
        <v>232</v>
      </c>
      <c r="B260" s="8" t="s">
        <v>16</v>
      </c>
      <c r="C260" s="5" t="str">
        <f>HYPERLINK("http://data.overheid.nl/data/dataset/leefgebieden-biotopen-subbiotopen-lijnen","Leefgebieden (biotopen) - subbiotopen (lijnen)")</f>
        <v>Leefgebieden (biotopen) - subbiotopen (lijnen)</v>
      </c>
      <c r="D260" s="8" t="s">
        <v>17</v>
      </c>
      <c r="E260" s="5" t="s">
        <v>18</v>
      </c>
      <c r="F260" s="2" t="s">
        <v>372</v>
      </c>
      <c r="G260" s="5" t="s">
        <v>240</v>
      </c>
      <c r="H260" s="8" t="s">
        <v>21</v>
      </c>
      <c r="I260" s="5" t="s">
        <v>22</v>
      </c>
      <c r="J260" s="4" t="s">
        <v>23</v>
      </c>
      <c r="K260" s="3" t="s">
        <v>19</v>
      </c>
      <c r="L260" s="8" t="s">
        <v>24</v>
      </c>
      <c r="M260" s="5" t="s">
        <v>25</v>
      </c>
      <c r="N260" s="2" t="s">
        <v>26</v>
      </c>
      <c r="O260" s="5">
        <v>5</v>
      </c>
      <c r="P260" s="2"/>
      <c r="Q260" s="5"/>
    </row>
    <row r="261" spans="1:17" ht="108.5">
      <c r="A261" s="5">
        <v>233</v>
      </c>
      <c r="B261" s="8" t="s">
        <v>16</v>
      </c>
      <c r="C261" s="5" t="str">
        <f>HYPERLINK("http://data.overheid.nl/data/dataset/leefgebieden-biotopen-niveau-2","Leefgebieden (biotopen) - niveau 2")</f>
        <v>Leefgebieden (biotopen) - niveau 2</v>
      </c>
      <c r="D261" s="8" t="s">
        <v>17</v>
      </c>
      <c r="E261" s="5" t="s">
        <v>18</v>
      </c>
      <c r="F261" s="2" t="s">
        <v>372</v>
      </c>
      <c r="G261" s="5" t="s">
        <v>240</v>
      </c>
      <c r="H261" s="8" t="s">
        <v>21</v>
      </c>
      <c r="I261" s="5" t="s">
        <v>22</v>
      </c>
      <c r="J261" s="4" t="s">
        <v>23</v>
      </c>
      <c r="K261" s="3" t="s">
        <v>19</v>
      </c>
      <c r="L261" s="8" t="s">
        <v>24</v>
      </c>
      <c r="M261" s="5" t="s">
        <v>25</v>
      </c>
      <c r="N261" s="2" t="s">
        <v>26</v>
      </c>
      <c r="O261" s="5">
        <v>2</v>
      </c>
      <c r="P261" s="2"/>
      <c r="Q261" s="5"/>
    </row>
    <row r="262" spans="1:17" ht="15.5">
      <c r="A262" s="5">
        <v>235</v>
      </c>
      <c r="B262" s="8" t="s">
        <v>16</v>
      </c>
      <c r="C262" s="5" t="str">
        <f>HYPERLINK("http://data.overheid.nl/data/dataset/kwaliteitsnet-goederenvervoer-verkeersregelinstallaties","Kwaliteitsnet Goederenvervoer Verkeersregelinstallaties")</f>
        <v>Kwaliteitsnet Goederenvervoer Verkeersregelinstallaties</v>
      </c>
      <c r="D262" s="8" t="s">
        <v>17</v>
      </c>
      <c r="E262" s="5" t="s">
        <v>18</v>
      </c>
      <c r="F262" s="2" t="s">
        <v>372</v>
      </c>
      <c r="G262" s="5" t="s">
        <v>242</v>
      </c>
      <c r="H262" s="8" t="s">
        <v>21</v>
      </c>
      <c r="I262" s="5" t="s">
        <v>22</v>
      </c>
      <c r="J262" s="4" t="s">
        <v>23</v>
      </c>
      <c r="K262" s="3" t="s">
        <v>19</v>
      </c>
      <c r="L262" s="8" t="s">
        <v>24</v>
      </c>
      <c r="M262" s="5" t="s">
        <v>25</v>
      </c>
      <c r="N262" s="2" t="s">
        <v>26</v>
      </c>
      <c r="O262" s="5">
        <v>2</v>
      </c>
      <c r="P262" s="2"/>
      <c r="Q262" s="5"/>
    </row>
    <row r="263" spans="1:17" ht="31">
      <c r="A263" s="5">
        <v>237</v>
      </c>
      <c r="B263" s="8" t="s">
        <v>16</v>
      </c>
      <c r="C263" s="5" t="str">
        <f>HYPERLINK("http://data.overheid.nl/data/dataset/kwaliteitsnet-goederenvervoer-solitaire-bedrijven-01","Kwaliteitsnet Goederenvervoer Solitaire bedrijven")</f>
        <v>Kwaliteitsnet Goederenvervoer Solitaire bedrijven</v>
      </c>
      <c r="D263" s="8" t="s">
        <v>17</v>
      </c>
      <c r="E263" s="5" t="s">
        <v>18</v>
      </c>
      <c r="F263" s="2" t="s">
        <v>372</v>
      </c>
      <c r="G263" s="5" t="s">
        <v>244</v>
      </c>
      <c r="H263" s="8" t="s">
        <v>21</v>
      </c>
      <c r="I263" s="5" t="s">
        <v>22</v>
      </c>
      <c r="J263" s="4" t="s">
        <v>23</v>
      </c>
      <c r="K263" s="3" t="s">
        <v>19</v>
      </c>
      <c r="L263" s="8" t="s">
        <v>24</v>
      </c>
      <c r="M263" s="5" t="s">
        <v>25</v>
      </c>
      <c r="N263" s="2" t="s">
        <v>26</v>
      </c>
      <c r="O263" s="5">
        <v>2</v>
      </c>
      <c r="P263" s="2"/>
      <c r="Q263" s="5"/>
    </row>
    <row r="264" spans="1:17" ht="15.5">
      <c r="A264" s="5">
        <v>238</v>
      </c>
      <c r="B264" s="8" t="s">
        <v>16</v>
      </c>
      <c r="C264" s="5" t="str">
        <f>HYPERLINK("http://data.overheid.nl/data/dataset/kwaliteitsnet-goederenvervoer-snelheid","Kwaliteitsnet Goederenvervoer Snelheid")</f>
        <v>Kwaliteitsnet Goederenvervoer Snelheid</v>
      </c>
      <c r="D264" s="8" t="s">
        <v>17</v>
      </c>
      <c r="E264" s="5" t="s">
        <v>18</v>
      </c>
      <c r="F264" s="2" t="s">
        <v>372</v>
      </c>
      <c r="G264" s="5" t="s">
        <v>245</v>
      </c>
      <c r="H264" s="8" t="s">
        <v>21</v>
      </c>
      <c r="I264" s="5" t="s">
        <v>22</v>
      </c>
      <c r="J264" s="4" t="s">
        <v>23</v>
      </c>
      <c r="K264" s="3" t="s">
        <v>19</v>
      </c>
      <c r="L264" s="8" t="s">
        <v>24</v>
      </c>
      <c r="M264" s="5" t="s">
        <v>25</v>
      </c>
      <c r="N264" s="2" t="s">
        <v>26</v>
      </c>
      <c r="O264" s="5">
        <v>2</v>
      </c>
      <c r="P264" s="2"/>
      <c r="Q264" s="5"/>
    </row>
    <row r="265" spans="1:17" ht="15.5">
      <c r="A265" s="5">
        <v>240</v>
      </c>
      <c r="B265" s="8" t="s">
        <v>16</v>
      </c>
      <c r="C265" s="5" t="str">
        <f>HYPERLINK("http://data.overheid.nl/data/dataset/kwaliteitsnet-goederenvervoer-ongevallen-vrachtauto","Kwaliteitsnet Goederenvervoer Ongevallen vrachtauto")</f>
        <v>Kwaliteitsnet Goederenvervoer Ongevallen vrachtauto</v>
      </c>
      <c r="D265" s="8" t="s">
        <v>17</v>
      </c>
      <c r="E265" s="5" t="s">
        <v>18</v>
      </c>
      <c r="F265" s="2" t="s">
        <v>372</v>
      </c>
      <c r="G265" s="5" t="s">
        <v>247</v>
      </c>
      <c r="H265" s="8" t="s">
        <v>21</v>
      </c>
      <c r="I265" s="5" t="s">
        <v>22</v>
      </c>
      <c r="J265" s="4" t="s">
        <v>23</v>
      </c>
      <c r="K265" s="3" t="s">
        <v>19</v>
      </c>
      <c r="L265" s="8" t="s">
        <v>24</v>
      </c>
      <c r="M265" s="5" t="s">
        <v>25</v>
      </c>
      <c r="N265" s="2" t="s">
        <v>26</v>
      </c>
      <c r="O265" s="5">
        <v>2</v>
      </c>
      <c r="P265" s="2"/>
      <c r="Q265" s="5"/>
    </row>
    <row r="266" spans="1:17" ht="15.5">
      <c r="A266" s="5">
        <v>241</v>
      </c>
      <c r="B266" s="8" t="s">
        <v>16</v>
      </c>
      <c r="C266" s="5" t="str">
        <f>HYPERLINK("http://data.overheid.nl/data/dataset/kwaliteitsnet-goederenvervoer-landbouwverkeer","Kwaliteitsnet Goederenvervoer Landbouwverkeer")</f>
        <v>Kwaliteitsnet Goederenvervoer Landbouwverkeer</v>
      </c>
      <c r="D266" s="8" t="s">
        <v>17</v>
      </c>
      <c r="E266" s="5" t="s">
        <v>18</v>
      </c>
      <c r="F266" s="2" t="s">
        <v>372</v>
      </c>
      <c r="G266" s="5" t="s">
        <v>248</v>
      </c>
      <c r="H266" s="8" t="s">
        <v>21</v>
      </c>
      <c r="I266" s="5" t="s">
        <v>22</v>
      </c>
      <c r="J266" s="4" t="s">
        <v>23</v>
      </c>
      <c r="K266" s="3" t="s">
        <v>19</v>
      </c>
      <c r="L266" s="8" t="s">
        <v>24</v>
      </c>
      <c r="M266" s="5" t="s">
        <v>25</v>
      </c>
      <c r="N266" s="2" t="s">
        <v>26</v>
      </c>
      <c r="O266" s="5">
        <v>2</v>
      </c>
      <c r="P266" s="2"/>
      <c r="Q266" s="5"/>
    </row>
    <row r="267" spans="1:17" ht="15.5">
      <c r="A267" s="5">
        <v>242</v>
      </c>
      <c r="B267" s="8" t="s">
        <v>16</v>
      </c>
      <c r="C267" s="5" t="str">
        <f>HYPERLINK("http://data.overheid.nl/data/dataset/kwaliteitsnet-goederenvervoer-knelpunt-luchtkwaliteit","Kwaliteitsnet Goederenvervoer Knelpunt luchtkwaliteit")</f>
        <v>Kwaliteitsnet Goederenvervoer Knelpunt luchtkwaliteit</v>
      </c>
      <c r="D267" s="8" t="s">
        <v>17</v>
      </c>
      <c r="E267" s="5" t="s">
        <v>18</v>
      </c>
      <c r="F267" s="2" t="s">
        <v>372</v>
      </c>
      <c r="G267" s="5" t="s">
        <v>249</v>
      </c>
      <c r="H267" s="8" t="s">
        <v>21</v>
      </c>
      <c r="I267" s="5" t="s">
        <v>22</v>
      </c>
      <c r="J267" s="4" t="s">
        <v>23</v>
      </c>
      <c r="K267" s="3" t="s">
        <v>19</v>
      </c>
      <c r="L267" s="8" t="s">
        <v>24</v>
      </c>
      <c r="M267" s="5" t="s">
        <v>25</v>
      </c>
      <c r="N267" s="2" t="s">
        <v>26</v>
      </c>
      <c r="O267" s="5">
        <v>2</v>
      </c>
      <c r="P267" s="2"/>
      <c r="Q267" s="5"/>
    </row>
    <row r="268" spans="1:17" ht="31">
      <c r="A268" s="5">
        <v>245</v>
      </c>
      <c r="B268" s="8" t="s">
        <v>16</v>
      </c>
      <c r="C268" s="5" t="str">
        <f>HYPERLINK("http://data.overheid.nl/data/dataset/kwaliteitsnet-goederenvervoer-kantoren-regionaal","Kwaliteitsnet Goederenvervoer Kantoren regionaal")</f>
        <v>Kwaliteitsnet Goederenvervoer Kantoren regionaal</v>
      </c>
      <c r="D268" s="8" t="s">
        <v>17</v>
      </c>
      <c r="E268" s="5" t="s">
        <v>18</v>
      </c>
      <c r="F268" s="2" t="s">
        <v>372</v>
      </c>
      <c r="G268" s="5" t="s">
        <v>252</v>
      </c>
      <c r="H268" s="8" t="s">
        <v>21</v>
      </c>
      <c r="I268" s="5" t="s">
        <v>22</v>
      </c>
      <c r="J268" s="4" t="s">
        <v>23</v>
      </c>
      <c r="K268" s="3" t="s">
        <v>19</v>
      </c>
      <c r="L268" s="8" t="s">
        <v>24</v>
      </c>
      <c r="M268" s="5" t="s">
        <v>25</v>
      </c>
      <c r="N268" s="2" t="s">
        <v>26</v>
      </c>
      <c r="O268" s="5">
        <v>2</v>
      </c>
      <c r="P268" s="2"/>
      <c r="Q268" s="5"/>
    </row>
    <row r="269" spans="1:17" ht="15.5">
      <c r="A269" s="5">
        <v>246</v>
      </c>
      <c r="B269" s="8" t="s">
        <v>16</v>
      </c>
      <c r="C269" s="5" t="str">
        <f>HYPERLINK("http://data.overheid.nl/data/dataset/kwaliteitsnet-goederenvervoer-gelijkvloerse-spoorwegovergang","Kwaliteitsnet Goederenvervoer Gelijkvloerse spoorwegovergang")</f>
        <v>Kwaliteitsnet Goederenvervoer Gelijkvloerse spoorwegovergang</v>
      </c>
      <c r="D269" s="8" t="s">
        <v>17</v>
      </c>
      <c r="E269" s="5" t="s">
        <v>18</v>
      </c>
      <c r="F269" s="2" t="s">
        <v>372</v>
      </c>
      <c r="G269" s="5" t="s">
        <v>253</v>
      </c>
      <c r="H269" s="8" t="s">
        <v>21</v>
      </c>
      <c r="I269" s="5" t="s">
        <v>22</v>
      </c>
      <c r="J269" s="4" t="s">
        <v>23</v>
      </c>
      <c r="K269" s="3" t="s">
        <v>19</v>
      </c>
      <c r="L269" s="8" t="s">
        <v>24</v>
      </c>
      <c r="M269" s="5" t="s">
        <v>25</v>
      </c>
      <c r="N269" s="2" t="s">
        <v>26</v>
      </c>
      <c r="O269" s="5">
        <v>2</v>
      </c>
      <c r="P269" s="2"/>
      <c r="Q269" s="5"/>
    </row>
    <row r="270" spans="1:17" ht="15.5">
      <c r="A270" s="5">
        <v>247</v>
      </c>
      <c r="B270" s="8" t="s">
        <v>16</v>
      </c>
      <c r="C270" s="5" t="str">
        <f>HYPERLINK("http://data.overheid.nl/data/dataset/kwaliteitsnet-goederenvervoer-fietsers-op-rijbaan","Kwaliteitsnet Goederenvervoer Fietsers op rijbaan")</f>
        <v>Kwaliteitsnet Goederenvervoer Fietsers op rijbaan</v>
      </c>
      <c r="D270" s="8" t="s">
        <v>17</v>
      </c>
      <c r="E270" s="5" t="s">
        <v>18</v>
      </c>
      <c r="F270" s="2" t="s">
        <v>372</v>
      </c>
      <c r="G270" s="5" t="s">
        <v>254</v>
      </c>
      <c r="H270" s="8" t="s">
        <v>21</v>
      </c>
      <c r="I270" s="5" t="s">
        <v>22</v>
      </c>
      <c r="J270" s="4" t="s">
        <v>23</v>
      </c>
      <c r="K270" s="3" t="s">
        <v>19</v>
      </c>
      <c r="L270" s="8" t="s">
        <v>24</v>
      </c>
      <c r="M270" s="5" t="s">
        <v>25</v>
      </c>
      <c r="N270" s="2" t="s">
        <v>26</v>
      </c>
      <c r="O270" s="5">
        <v>2</v>
      </c>
      <c r="P270" s="2"/>
      <c r="Q270" s="5"/>
    </row>
    <row r="271" spans="1:17" ht="15.5">
      <c r="A271" s="5">
        <v>248</v>
      </c>
      <c r="B271" s="8" t="s">
        <v>16</v>
      </c>
      <c r="C271" s="5" t="str">
        <f>HYPERLINK("http://data.overheid.nl/data/dataset/kwaliteitsnet-goederenvervoer-ehs-naast-wegen","Kwaliteitsnet Goederenvervoer EHS naast wegen")</f>
        <v>Kwaliteitsnet Goederenvervoer EHS naast wegen</v>
      </c>
      <c r="D271" s="8" t="s">
        <v>17</v>
      </c>
      <c r="E271" s="5" t="s">
        <v>18</v>
      </c>
      <c r="F271" s="2" t="s">
        <v>372</v>
      </c>
      <c r="G271" s="5" t="s">
        <v>255</v>
      </c>
      <c r="H271" s="8" t="s">
        <v>21</v>
      </c>
      <c r="I271" s="5" t="s">
        <v>22</v>
      </c>
      <c r="J271" s="4" t="s">
        <v>23</v>
      </c>
      <c r="K271" s="3" t="s">
        <v>19</v>
      </c>
      <c r="L271" s="8" t="s">
        <v>24</v>
      </c>
      <c r="M271" s="5" t="s">
        <v>25</v>
      </c>
      <c r="N271" s="2" t="s">
        <v>26</v>
      </c>
      <c r="O271" s="5">
        <v>2</v>
      </c>
      <c r="P271" s="2"/>
      <c r="Q271" s="5"/>
    </row>
    <row r="272" spans="1:17" ht="31">
      <c r="A272" s="5">
        <v>251</v>
      </c>
      <c r="B272" s="8" t="s">
        <v>16</v>
      </c>
      <c r="C272" s="5" t="str">
        <f>HYPERLINK("http://data.overheid.nl/data/dataset/kwaliteitsnet-goederenvervoer-centrumlocaties","Kwaliteitsnet Goederenvervoer Centrumlocaties")</f>
        <v>Kwaliteitsnet Goederenvervoer Centrumlocaties</v>
      </c>
      <c r="D272" s="8" t="s">
        <v>17</v>
      </c>
      <c r="E272" s="5" t="s">
        <v>18</v>
      </c>
      <c r="F272" s="2" t="s">
        <v>372</v>
      </c>
      <c r="G272" s="5" t="s">
        <v>258</v>
      </c>
      <c r="H272" s="8" t="s">
        <v>21</v>
      </c>
      <c r="I272" s="5" t="s">
        <v>22</v>
      </c>
      <c r="J272" s="4" t="s">
        <v>23</v>
      </c>
      <c r="K272" s="3" t="s">
        <v>19</v>
      </c>
      <c r="L272" s="8" t="s">
        <v>24</v>
      </c>
      <c r="M272" s="5" t="s">
        <v>25</v>
      </c>
      <c r="N272" s="2" t="s">
        <v>26</v>
      </c>
      <c r="O272" s="5">
        <v>2</v>
      </c>
      <c r="P272" s="2"/>
      <c r="Q272" s="5"/>
    </row>
    <row r="273" spans="1:17" ht="31">
      <c r="A273" s="5">
        <v>253</v>
      </c>
      <c r="B273" s="8" t="s">
        <v>16</v>
      </c>
      <c r="C273" s="5" t="str">
        <f>HYPERLINK("http://data.overheid.nl/data/dataset/kwaliteitsnet-goederenvervoer-bedrijven-regionaal","Kwaliteitsnet Goederenvervoer Bedrijven Regionaal")</f>
        <v>Kwaliteitsnet Goederenvervoer Bedrijven Regionaal</v>
      </c>
      <c r="D273" s="8" t="s">
        <v>17</v>
      </c>
      <c r="E273" s="5" t="s">
        <v>18</v>
      </c>
      <c r="F273" s="2" t="s">
        <v>372</v>
      </c>
      <c r="G273" s="5" t="s">
        <v>260</v>
      </c>
      <c r="H273" s="8" t="s">
        <v>21</v>
      </c>
      <c r="I273" s="5" t="s">
        <v>22</v>
      </c>
      <c r="J273" s="4" t="s">
        <v>23</v>
      </c>
      <c r="K273" s="3" t="s">
        <v>19</v>
      </c>
      <c r="L273" s="8" t="s">
        <v>24</v>
      </c>
      <c r="M273" s="5" t="s">
        <v>25</v>
      </c>
      <c r="N273" s="2" t="s">
        <v>26</v>
      </c>
      <c r="O273" s="5">
        <v>2</v>
      </c>
      <c r="P273" s="2"/>
      <c r="Q273" s="5"/>
    </row>
    <row r="274" spans="1:17" ht="31">
      <c r="A274" s="5">
        <v>254</v>
      </c>
      <c r="B274" s="8" t="s">
        <v>16</v>
      </c>
      <c r="C274" s="5" t="str">
        <f>HYPERLINK("http://data.overheid.nl/data/dataset/kwaliteitsnet-goederenvervoer-bedrijven","Kwaliteitsnet Goederenvervoer Bedrijven")</f>
        <v>Kwaliteitsnet Goederenvervoer Bedrijven</v>
      </c>
      <c r="D274" s="8" t="s">
        <v>17</v>
      </c>
      <c r="E274" s="5" t="s">
        <v>18</v>
      </c>
      <c r="F274" s="2" t="s">
        <v>372</v>
      </c>
      <c r="G274" s="5" t="s">
        <v>260</v>
      </c>
      <c r="H274" s="8" t="s">
        <v>21</v>
      </c>
      <c r="I274" s="5" t="s">
        <v>22</v>
      </c>
      <c r="J274" s="4" t="s">
        <v>23</v>
      </c>
      <c r="K274" s="3" t="s">
        <v>19</v>
      </c>
      <c r="L274" s="8" t="s">
        <v>24</v>
      </c>
      <c r="M274" s="5" t="s">
        <v>25</v>
      </c>
      <c r="N274" s="2" t="s">
        <v>26</v>
      </c>
      <c r="O274" s="5">
        <v>2</v>
      </c>
      <c r="P274" s="2"/>
      <c r="Q274" s="5"/>
    </row>
    <row r="275" spans="1:17" ht="15.5">
      <c r="A275" s="5">
        <v>255</v>
      </c>
      <c r="B275" s="8" t="s">
        <v>16</v>
      </c>
      <c r="C275" s="5" t="str">
        <f>HYPERLINK("http://data.overheid.nl/data/dataset/integrale-gebiedsgerichte-projecten-igp","Integrale Gebiedsgerichte Projecten (IGP)")</f>
        <v>Integrale Gebiedsgerichte Projecten (IGP)</v>
      </c>
      <c r="D275" s="8" t="s">
        <v>17</v>
      </c>
      <c r="E275" s="5" t="s">
        <v>18</v>
      </c>
      <c r="F275" s="2" t="s">
        <v>372</v>
      </c>
      <c r="G275" s="5" t="s">
        <v>261</v>
      </c>
      <c r="H275" s="8" t="s">
        <v>21</v>
      </c>
      <c r="I275" s="5" t="s">
        <v>22</v>
      </c>
      <c r="J275" s="4" t="s">
        <v>23</v>
      </c>
      <c r="K275" s="3" t="s">
        <v>19</v>
      </c>
      <c r="L275" s="8" t="s">
        <v>24</v>
      </c>
      <c r="M275" s="5" t="s">
        <v>25</v>
      </c>
      <c r="N275" s="2" t="s">
        <v>26</v>
      </c>
      <c r="O275" s="5">
        <v>1</v>
      </c>
      <c r="P275" s="2"/>
      <c r="Q275" s="5"/>
    </row>
    <row r="276" spans="1:17" ht="31">
      <c r="A276" s="5">
        <v>256</v>
      </c>
      <c r="B276" s="8" t="s">
        <v>16</v>
      </c>
      <c r="C276" s="5" t="str">
        <f>HYPERLINK("http://data.overheid.nl/data/dataset/actualisatie-integraal-gebiedsontwikkelingsprogramma-igp-2012","Actualisatie Integraal Gebiedsontwikkelingsprogramma (IGP) 2012")</f>
        <v>Actualisatie Integraal Gebiedsontwikkelingsprogramma (IGP) 2012</v>
      </c>
      <c r="D276" s="8" t="s">
        <v>17</v>
      </c>
      <c r="E276" s="5" t="s">
        <v>18</v>
      </c>
      <c r="F276" s="2" t="s">
        <v>372</v>
      </c>
      <c r="G276" s="5" t="s">
        <v>262</v>
      </c>
      <c r="H276" s="8" t="s">
        <v>21</v>
      </c>
      <c r="I276" s="5" t="s">
        <v>22</v>
      </c>
      <c r="J276" s="4" t="s">
        <v>23</v>
      </c>
      <c r="K276" s="3" t="s">
        <v>19</v>
      </c>
      <c r="L276" s="8" t="s">
        <v>24</v>
      </c>
      <c r="M276" s="5" t="s">
        <v>25</v>
      </c>
      <c r="N276" s="2" t="s">
        <v>26</v>
      </c>
      <c r="O276" s="5">
        <v>2</v>
      </c>
      <c r="P276" s="2"/>
      <c r="Q276" s="5"/>
    </row>
    <row r="277" spans="1:17" ht="93">
      <c r="A277" s="5">
        <v>257</v>
      </c>
      <c r="B277" s="8" t="s">
        <v>16</v>
      </c>
      <c r="C277" s="5" t="str">
        <f>HYPERLINK("http://data.overheid.nl/data/dataset/ecoducten-en-faunapassages","Ecoducten en Faunapassages")</f>
        <v>Ecoducten en Faunapassages</v>
      </c>
      <c r="D277" s="8" t="s">
        <v>17</v>
      </c>
      <c r="E277" s="5" t="s">
        <v>18</v>
      </c>
      <c r="F277" s="2" t="s">
        <v>372</v>
      </c>
      <c r="G277" s="5" t="s">
        <v>263</v>
      </c>
      <c r="H277" s="8" t="s">
        <v>21</v>
      </c>
      <c r="I277" s="5" t="s">
        <v>22</v>
      </c>
      <c r="J277" s="4" t="s">
        <v>23</v>
      </c>
      <c r="K277" s="3" t="s">
        <v>19</v>
      </c>
      <c r="L277" s="8" t="s">
        <v>24</v>
      </c>
      <c r="M277" s="5" t="s">
        <v>25</v>
      </c>
      <c r="N277" s="2" t="s">
        <v>26</v>
      </c>
      <c r="O277" s="5">
        <v>3</v>
      </c>
      <c r="P277" s="2"/>
      <c r="Q277" s="5"/>
    </row>
    <row r="278" spans="1:17" ht="31">
      <c r="A278" s="5">
        <v>259</v>
      </c>
      <c r="B278" s="8" t="s">
        <v>16</v>
      </c>
      <c r="C278" s="5" t="str">
        <f>HYPERLINK("http://data.overheid.nl/data/dataset/accenten-actualisatie-integraal-gebiedsontwikkelingsprogramma-igp-2012-knooppunten","Accenten actualisatie Integraal Gebiedsontwikkelingsprogramma (IGP) 2012 - knooppunten")</f>
        <v>Accenten actualisatie Integraal Gebiedsontwikkelingsprogramma (IGP) 2012 - knooppunten</v>
      </c>
      <c r="D278" s="8" t="s">
        <v>17</v>
      </c>
      <c r="E278" s="5" t="s">
        <v>18</v>
      </c>
      <c r="F278" s="2" t="s">
        <v>372</v>
      </c>
      <c r="G278" s="5" t="s">
        <v>265</v>
      </c>
      <c r="H278" s="8" t="s">
        <v>21</v>
      </c>
      <c r="I278" s="5" t="s">
        <v>22</v>
      </c>
      <c r="J278" s="4" t="s">
        <v>23</v>
      </c>
      <c r="K278" s="3" t="s">
        <v>19</v>
      </c>
      <c r="L278" s="8" t="s">
        <v>24</v>
      </c>
      <c r="M278" s="5" t="s">
        <v>25</v>
      </c>
      <c r="N278" s="2" t="s">
        <v>26</v>
      </c>
      <c r="O278" s="5">
        <v>1</v>
      </c>
      <c r="P278" s="2"/>
      <c r="Q278" s="5"/>
    </row>
    <row r="279" spans="1:17" ht="31">
      <c r="A279" s="5">
        <v>260</v>
      </c>
      <c r="B279" s="8" t="s">
        <v>16</v>
      </c>
      <c r="C279" s="5" t="str">
        <f>HYPERLINK("http://data.overheid.nl/data/dataset/accenten-actualisatie-integraal-gebiedsontwikkelingsprogramma-igp-2012-ontsluiting-utrecht-science-p","Accenten actualisatie Integraal Gebiedsontwikkelingsprogramma (IGP) 2012 - ontsluiting Utrecht Science Park")</f>
        <v>Accenten actualisatie Integraal Gebiedsontwikkelingsprogramma (IGP) 2012 - ontsluiting Utrecht Science Park</v>
      </c>
      <c r="D279" s="8" t="s">
        <v>17</v>
      </c>
      <c r="E279" s="5" t="s">
        <v>18</v>
      </c>
      <c r="F279" s="2" t="s">
        <v>372</v>
      </c>
      <c r="G279" s="5" t="s">
        <v>266</v>
      </c>
      <c r="H279" s="8" t="s">
        <v>21</v>
      </c>
      <c r="I279" s="5" t="s">
        <v>22</v>
      </c>
      <c r="J279" s="4" t="s">
        <v>23</v>
      </c>
      <c r="K279" s="3" t="s">
        <v>19</v>
      </c>
      <c r="L279" s="8" t="s">
        <v>24</v>
      </c>
      <c r="M279" s="5" t="s">
        <v>25</v>
      </c>
      <c r="N279" s="2" t="s">
        <v>26</v>
      </c>
      <c r="O279" s="5">
        <v>1</v>
      </c>
      <c r="P279" s="2"/>
      <c r="Q279" s="5"/>
    </row>
    <row r="280" spans="1:17" ht="31">
      <c r="A280" s="5">
        <v>261</v>
      </c>
      <c r="B280" s="8" t="s">
        <v>16</v>
      </c>
      <c r="C280" s="5" t="str">
        <f>HYPERLINK("http://data.overheid.nl/data/dataset/accenten-actualisatie-integraal-gebiedsontwikkelingsprogramma-igp-2012","Accenten actualisatie Integraal Gebiedsontwikkelingsprogramma (IGP) 2012")</f>
        <v>Accenten actualisatie Integraal Gebiedsontwikkelingsprogramma (IGP) 2012</v>
      </c>
      <c r="D280" s="8" t="s">
        <v>17</v>
      </c>
      <c r="E280" s="5" t="s">
        <v>18</v>
      </c>
      <c r="F280" s="2" t="s">
        <v>372</v>
      </c>
      <c r="G280" s="5" t="s">
        <v>267</v>
      </c>
      <c r="H280" s="8" t="s">
        <v>21</v>
      </c>
      <c r="I280" s="5" t="s">
        <v>22</v>
      </c>
      <c r="J280" s="4" t="s">
        <v>23</v>
      </c>
      <c r="K280" s="3" t="s">
        <v>19</v>
      </c>
      <c r="L280" s="8" t="s">
        <v>24</v>
      </c>
      <c r="M280" s="5" t="s">
        <v>25</v>
      </c>
      <c r="N280" s="2" t="s">
        <v>26</v>
      </c>
      <c r="O280" s="5">
        <v>5</v>
      </c>
      <c r="P280" s="2"/>
      <c r="Q280" s="5"/>
    </row>
    <row r="281" spans="1:17" ht="31">
      <c r="A281" s="5">
        <v>262</v>
      </c>
      <c r="B281" s="8" t="s">
        <v>16</v>
      </c>
      <c r="C281" s="5" t="str">
        <f>HYPERLINK("http://data.overheid.nl/data/dataset/provinciaal-arbeidsplaatsen-register-par","Provinciaal Arbeidsplaatsen Register (PAR)")</f>
        <v>Provinciaal Arbeidsplaatsen Register (PAR)</v>
      </c>
      <c r="D281" s="8" t="s">
        <v>17</v>
      </c>
      <c r="E281" s="5" t="s">
        <v>18</v>
      </c>
      <c r="F281" s="2" t="s">
        <v>372</v>
      </c>
      <c r="G281" s="5" t="s">
        <v>215</v>
      </c>
      <c r="H281" s="8" t="s">
        <v>21</v>
      </c>
      <c r="I281" s="5" t="s">
        <v>22</v>
      </c>
      <c r="J281" s="4" t="s">
        <v>23</v>
      </c>
      <c r="K281" s="3" t="s">
        <v>19</v>
      </c>
      <c r="L281" s="8" t="s">
        <v>24</v>
      </c>
      <c r="M281" s="5" t="s">
        <v>25</v>
      </c>
      <c r="N281" s="2" t="s">
        <v>26</v>
      </c>
      <c r="O281" s="5">
        <v>32</v>
      </c>
      <c r="P281" s="2"/>
      <c r="Q281" s="5"/>
    </row>
    <row r="282" spans="1:17" ht="15.5">
      <c r="A282" s="5">
        <v>263</v>
      </c>
      <c r="B282" s="8" t="s">
        <v>16</v>
      </c>
      <c r="C282" s="5" t="str">
        <f>HYPERLINK("http://data.overheid.nl/data/dataset/wandelroutenetwerk-utrecht-west-routes","Wandelroutenetwerk Utrecht West - Routes")</f>
        <v>Wandelroutenetwerk Utrecht West - Routes</v>
      </c>
      <c r="D282" s="8" t="s">
        <v>17</v>
      </c>
      <c r="E282" s="5" t="s">
        <v>18</v>
      </c>
      <c r="F282" s="2" t="s">
        <v>372</v>
      </c>
      <c r="G282" s="5" t="s">
        <v>268</v>
      </c>
      <c r="H282" s="8" t="s">
        <v>21</v>
      </c>
      <c r="I282" s="5" t="s">
        <v>22</v>
      </c>
      <c r="J282" s="4" t="s">
        <v>23</v>
      </c>
      <c r="K282" s="3" t="s">
        <v>19</v>
      </c>
      <c r="L282" s="8" t="s">
        <v>24</v>
      </c>
      <c r="M282" s="5" t="s">
        <v>25</v>
      </c>
      <c r="N282" s="2" t="s">
        <v>26</v>
      </c>
      <c r="O282" s="5">
        <v>2</v>
      </c>
      <c r="P282" s="2"/>
      <c r="Q282" s="5"/>
    </row>
    <row r="283" spans="1:17" ht="15.5">
      <c r="A283" s="5">
        <v>264</v>
      </c>
      <c r="B283" s="8" t="s">
        <v>16</v>
      </c>
      <c r="C283" s="5" t="str">
        <f>HYPERLINK("http://data.overheid.nl/data/dataset/wandelroutenetwerk-utrecht-west-knooppunten","Wandelroutenetwerk Utrecht West - Knooppunten")</f>
        <v>Wandelroutenetwerk Utrecht West - Knooppunten</v>
      </c>
      <c r="D283" s="8" t="s">
        <v>17</v>
      </c>
      <c r="E283" s="5" t="s">
        <v>18</v>
      </c>
      <c r="F283" s="2" t="s">
        <v>372</v>
      </c>
      <c r="G283" s="5" t="s">
        <v>269</v>
      </c>
      <c r="H283" s="8" t="s">
        <v>21</v>
      </c>
      <c r="I283" s="5" t="s">
        <v>22</v>
      </c>
      <c r="J283" s="4" t="s">
        <v>23</v>
      </c>
      <c r="K283" s="3" t="s">
        <v>19</v>
      </c>
      <c r="L283" s="8" t="s">
        <v>24</v>
      </c>
      <c r="M283" s="5" t="s">
        <v>25</v>
      </c>
      <c r="N283" s="2" t="s">
        <v>26</v>
      </c>
      <c r="O283" s="5">
        <v>2</v>
      </c>
      <c r="P283" s="2"/>
      <c r="Q283" s="5"/>
    </row>
    <row r="284" spans="1:17" ht="15.5">
      <c r="A284" s="5">
        <v>265</v>
      </c>
      <c r="B284" s="8" t="s">
        <v>16</v>
      </c>
      <c r="C284" s="5" t="str">
        <f>HYPERLINK("http://data.overheid.nl/data/dataset/beheergebieden-recreatie-midden-nederland-rmn","Beheergebieden Recreatie Midden-Nederland (RMN)")</f>
        <v>Beheergebieden Recreatie Midden-Nederland (RMN)</v>
      </c>
      <c r="D284" s="8" t="s">
        <v>17</v>
      </c>
      <c r="E284" s="5" t="s">
        <v>18</v>
      </c>
      <c r="F284" s="2" t="s">
        <v>372</v>
      </c>
      <c r="G284" s="5" t="s">
        <v>270</v>
      </c>
      <c r="H284" s="8" t="s">
        <v>21</v>
      </c>
      <c r="I284" s="5" t="s">
        <v>22</v>
      </c>
      <c r="J284" s="4" t="s">
        <v>23</v>
      </c>
      <c r="K284" s="3" t="s">
        <v>19</v>
      </c>
      <c r="L284" s="8" t="s">
        <v>24</v>
      </c>
      <c r="M284" s="5" t="s">
        <v>25</v>
      </c>
      <c r="N284" s="2" t="s">
        <v>26</v>
      </c>
      <c r="O284" s="5">
        <v>2</v>
      </c>
      <c r="P284" s="2"/>
      <c r="Q284" s="5"/>
    </row>
    <row r="285" spans="1:17" ht="15.5">
      <c r="A285" s="5">
        <v>266</v>
      </c>
      <c r="B285" s="8" t="s">
        <v>16</v>
      </c>
      <c r="C285" s="5" t="str">
        <f>HYPERLINK("http://data.overheid.nl/data/dataset/winkelgebieden","Winkelgebieden")</f>
        <v>Winkelgebieden</v>
      </c>
      <c r="D285" s="8" t="s">
        <v>17</v>
      </c>
      <c r="E285" s="5" t="s">
        <v>18</v>
      </c>
      <c r="F285" s="2" t="s">
        <v>372</v>
      </c>
      <c r="G285" s="5" t="s">
        <v>271</v>
      </c>
      <c r="H285" s="8" t="s">
        <v>21</v>
      </c>
      <c r="I285" s="5" t="s">
        <v>22</v>
      </c>
      <c r="J285" s="4" t="s">
        <v>23</v>
      </c>
      <c r="K285" s="3" t="s">
        <v>19</v>
      </c>
      <c r="L285" s="8" t="s">
        <v>24</v>
      </c>
      <c r="M285" s="5" t="s">
        <v>25</v>
      </c>
      <c r="N285" s="2" t="s">
        <v>26</v>
      </c>
      <c r="O285" s="5">
        <v>1</v>
      </c>
      <c r="P285" s="2"/>
      <c r="Q285" s="5"/>
    </row>
    <row r="286" spans="1:17" ht="46.5">
      <c r="A286" s="5">
        <v>267</v>
      </c>
      <c r="B286" s="8" t="s">
        <v>16</v>
      </c>
      <c r="C286" s="5" t="str">
        <f>HYPERLINK("http://data.overheid.nl/data/dataset/geluidsgezoneerd-industrieterreinen","Geluidsgezoneerd industrieterreinen")</f>
        <v>Geluidsgezoneerd industrieterreinen</v>
      </c>
      <c r="D286" s="8" t="s">
        <v>17</v>
      </c>
      <c r="E286" s="5" t="s">
        <v>18</v>
      </c>
      <c r="F286" s="2" t="s">
        <v>372</v>
      </c>
      <c r="G286" s="5" t="s">
        <v>272</v>
      </c>
      <c r="H286" s="8" t="s">
        <v>21</v>
      </c>
      <c r="I286" s="5" t="s">
        <v>22</v>
      </c>
      <c r="J286" s="4" t="s">
        <v>23</v>
      </c>
      <c r="K286" s="3" t="s">
        <v>19</v>
      </c>
      <c r="L286" s="8" t="s">
        <v>24</v>
      </c>
      <c r="M286" s="5" t="s">
        <v>25</v>
      </c>
      <c r="N286" s="2" t="s">
        <v>26</v>
      </c>
      <c r="O286" s="5">
        <v>2</v>
      </c>
      <c r="P286" s="2"/>
      <c r="Q286" s="5"/>
    </row>
    <row r="287" spans="1:17" ht="108.5">
      <c r="A287" s="5">
        <v>268</v>
      </c>
      <c r="B287" s="8" t="s">
        <v>16</v>
      </c>
      <c r="C287" s="5" t="str">
        <f>HYPERLINK("http://data.overheid.nl/data/dataset/geluidszones-industrieterreinen","Geluidszones industrieterreinen")</f>
        <v>Geluidszones industrieterreinen</v>
      </c>
      <c r="D287" s="8" t="s">
        <v>17</v>
      </c>
      <c r="E287" s="5" t="s">
        <v>18</v>
      </c>
      <c r="F287" s="2" t="s">
        <v>372</v>
      </c>
      <c r="G287" s="5" t="s">
        <v>273</v>
      </c>
      <c r="H287" s="8" t="s">
        <v>21</v>
      </c>
      <c r="I287" s="5" t="s">
        <v>22</v>
      </c>
      <c r="J287" s="4" t="s">
        <v>23</v>
      </c>
      <c r="K287" s="3" t="s">
        <v>19</v>
      </c>
      <c r="L287" s="8" t="s">
        <v>24</v>
      </c>
      <c r="M287" s="5" t="s">
        <v>25</v>
      </c>
      <c r="N287" s="2" t="s">
        <v>26</v>
      </c>
      <c r="O287" s="5">
        <v>2</v>
      </c>
      <c r="P287" s="2"/>
      <c r="Q287" s="5"/>
    </row>
    <row r="288" spans="1:17" ht="62">
      <c r="A288" s="5">
        <v>269</v>
      </c>
      <c r="B288" s="8" t="s">
        <v>16</v>
      </c>
      <c r="C288" s="5" t="str">
        <f>HYPERLINK("http://data.overheid.nl/data/dataset/adreslocaties-met-een-geluidsbelasting-van-50-db-en-hoger","adreslocaties met een geluidsbelasting van 50 dB en hoger")</f>
        <v>adreslocaties met een geluidsbelasting van 50 dB en hoger</v>
      </c>
      <c r="D288" s="8" t="s">
        <v>17</v>
      </c>
      <c r="E288" s="5" t="s">
        <v>18</v>
      </c>
      <c r="F288" s="2" t="s">
        <v>372</v>
      </c>
      <c r="G288" s="5" t="s">
        <v>274</v>
      </c>
      <c r="H288" s="8" t="s">
        <v>21</v>
      </c>
      <c r="I288" s="5" t="s">
        <v>22</v>
      </c>
      <c r="J288" s="4" t="s">
        <v>23</v>
      </c>
      <c r="K288" s="3" t="s">
        <v>19</v>
      </c>
      <c r="L288" s="8" t="s">
        <v>24</v>
      </c>
      <c r="M288" s="5" t="s">
        <v>25</v>
      </c>
      <c r="N288" s="2" t="s">
        <v>26</v>
      </c>
      <c r="O288" s="5">
        <v>2</v>
      </c>
      <c r="P288" s="2"/>
      <c r="Q288" s="5"/>
    </row>
    <row r="289" spans="1:17" ht="46.5">
      <c r="A289" s="5">
        <v>270</v>
      </c>
      <c r="B289" s="8" t="s">
        <v>16</v>
      </c>
      <c r="C289" s="5" t="str">
        <f>HYPERLINK("http://data.overheid.nl/data/dataset/lokaal-knooppunt","Lokaal Knooppunt")</f>
        <v>Lokaal Knooppunt</v>
      </c>
      <c r="D289" s="8" t="s">
        <v>17</v>
      </c>
      <c r="E289" s="5" t="s">
        <v>18</v>
      </c>
      <c r="F289" s="2" t="s">
        <v>372</v>
      </c>
      <c r="G289" s="5" t="s">
        <v>275</v>
      </c>
      <c r="H289" s="8" t="s">
        <v>21</v>
      </c>
      <c r="I289" s="5" t="s">
        <v>22</v>
      </c>
      <c r="J289" s="4" t="s">
        <v>23</v>
      </c>
      <c r="K289" s="3" t="s">
        <v>19</v>
      </c>
      <c r="L289" s="8" t="s">
        <v>24</v>
      </c>
      <c r="M289" s="5" t="s">
        <v>25</v>
      </c>
      <c r="N289" s="2" t="s">
        <v>26</v>
      </c>
      <c r="O289" s="5">
        <v>2</v>
      </c>
      <c r="P289" s="2"/>
      <c r="Q289" s="5"/>
    </row>
    <row r="290" spans="1:17" ht="31">
      <c r="A290" s="5">
        <v>271</v>
      </c>
      <c r="B290" s="8" t="s">
        <v>16</v>
      </c>
      <c r="C290" s="5" t="str">
        <f>HYPERLINK("http://data.overheid.nl/data/dataset/autosnelwegen-hoofdwegen-en-regionale-wegen-over-regionale-keringen","Autosnelwegen, hoofdwegen en regionale wegen over regionale keringen.")</f>
        <v>Autosnelwegen, hoofdwegen en regionale wegen over regionale keringen.</v>
      </c>
      <c r="D290" s="8" t="s">
        <v>17</v>
      </c>
      <c r="E290" s="5" t="s">
        <v>18</v>
      </c>
      <c r="F290" s="2" t="s">
        <v>372</v>
      </c>
      <c r="G290" s="5" t="s">
        <v>276</v>
      </c>
      <c r="H290" s="8" t="s">
        <v>21</v>
      </c>
      <c r="I290" s="5" t="s">
        <v>22</v>
      </c>
      <c r="J290" s="4" t="s">
        <v>23</v>
      </c>
      <c r="K290" s="3" t="s">
        <v>19</v>
      </c>
      <c r="L290" s="8" t="s">
        <v>24</v>
      </c>
      <c r="M290" s="5" t="s">
        <v>25</v>
      </c>
      <c r="N290" s="2" t="s">
        <v>26</v>
      </c>
      <c r="O290" s="5">
        <v>2</v>
      </c>
      <c r="P290" s="2"/>
      <c r="Q290" s="5"/>
    </row>
    <row r="291" spans="1:17" ht="62">
      <c r="A291" s="5">
        <v>272</v>
      </c>
      <c r="B291" s="8" t="s">
        <v>16</v>
      </c>
      <c r="C291" s="5" t="str">
        <f>HYPERLINK("http://data.overheid.nl/data/dataset/kwaliteitsnet-goederenvervoer-wegenoverzicht","Kwaliteitsnet Goederenvervoer Wegenoverzicht")</f>
        <v>Kwaliteitsnet Goederenvervoer Wegenoverzicht</v>
      </c>
      <c r="D291" s="8" t="s">
        <v>17</v>
      </c>
      <c r="E291" s="5" t="s">
        <v>18</v>
      </c>
      <c r="F291" s="2" t="s">
        <v>372</v>
      </c>
      <c r="G291" s="5" t="s">
        <v>277</v>
      </c>
      <c r="H291" s="8" t="s">
        <v>21</v>
      </c>
      <c r="I291" s="5" t="s">
        <v>22</v>
      </c>
      <c r="J291" s="4" t="s">
        <v>23</v>
      </c>
      <c r="K291" s="3" t="s">
        <v>19</v>
      </c>
      <c r="L291" s="8" t="s">
        <v>24</v>
      </c>
      <c r="M291" s="5" t="s">
        <v>25</v>
      </c>
      <c r="N291" s="2" t="s">
        <v>26</v>
      </c>
      <c r="O291" s="5">
        <v>2</v>
      </c>
      <c r="P291" s="2"/>
      <c r="Q291" s="5"/>
    </row>
    <row r="292" spans="1:17" ht="31">
      <c r="A292" s="5">
        <v>273</v>
      </c>
      <c r="B292" s="8" t="s">
        <v>16</v>
      </c>
      <c r="C292" s="5" t="str">
        <f>HYPERLINK("http://data.overheid.nl/data/dataset/kwaliteitsnet-goederenvervoer-solitaire-bedrijven","Kwaliteitsnet Goederenvervoer Solitaire bedrijven")</f>
        <v>Kwaliteitsnet Goederenvervoer Solitaire bedrijven</v>
      </c>
      <c r="D292" s="8" t="s">
        <v>17</v>
      </c>
      <c r="E292" s="5" t="s">
        <v>18</v>
      </c>
      <c r="F292" s="2" t="s">
        <v>372</v>
      </c>
      <c r="G292" s="5" t="s">
        <v>278</v>
      </c>
      <c r="H292" s="8" t="s">
        <v>21</v>
      </c>
      <c r="I292" s="5" t="s">
        <v>22</v>
      </c>
      <c r="J292" s="4" t="s">
        <v>23</v>
      </c>
      <c r="K292" s="3" t="s">
        <v>19</v>
      </c>
      <c r="L292" s="8" t="s">
        <v>24</v>
      </c>
      <c r="M292" s="5" t="s">
        <v>25</v>
      </c>
      <c r="N292" s="2" t="s">
        <v>26</v>
      </c>
      <c r="O292" s="5">
        <v>2</v>
      </c>
      <c r="P292" s="2"/>
      <c r="Q292" s="5"/>
    </row>
    <row r="293" spans="1:17" ht="31">
      <c r="A293" s="5">
        <v>274</v>
      </c>
      <c r="B293" s="8" t="s">
        <v>16</v>
      </c>
      <c r="C293" s="5" t="str">
        <f>HYPERLINK("http://data.overheid.nl/data/dataset/kwaliteitsnet-goederenvervoer-centrumlocaties-01","Kwaliteitsnet Goederenvervoer Centrumlocaties")</f>
        <v>Kwaliteitsnet Goederenvervoer Centrumlocaties</v>
      </c>
      <c r="D293" s="8" t="s">
        <v>17</v>
      </c>
      <c r="E293" s="5" t="s">
        <v>279</v>
      </c>
      <c r="F293" s="2" t="s">
        <v>372</v>
      </c>
      <c r="G293" s="5" t="s">
        <v>280</v>
      </c>
      <c r="H293" s="8" t="s">
        <v>21</v>
      </c>
      <c r="I293" s="5" t="s">
        <v>22</v>
      </c>
      <c r="J293" s="4" t="s">
        <v>23</v>
      </c>
      <c r="K293" s="3" t="s">
        <v>19</v>
      </c>
      <c r="L293" s="8" t="s">
        <v>24</v>
      </c>
      <c r="M293" s="5" t="s">
        <v>25</v>
      </c>
      <c r="N293" s="2" t="s">
        <v>26</v>
      </c>
      <c r="O293" s="5">
        <v>2</v>
      </c>
      <c r="P293" s="2"/>
      <c r="Q293" s="5"/>
    </row>
    <row r="294" spans="1:17" ht="31">
      <c r="A294" s="5">
        <v>275</v>
      </c>
      <c r="B294" s="8" t="s">
        <v>16</v>
      </c>
      <c r="C294" s="5" t="str">
        <f>HYPERLINK("http://data.overheid.nl/data/dataset/kwaliteitsnet-goederenvervoer-bedrijventerreinen","Kwaliteitsnet Goederenvervoer Bedrijventerreinen")</f>
        <v>Kwaliteitsnet Goederenvervoer Bedrijventerreinen</v>
      </c>
      <c r="D294" s="8" t="s">
        <v>17</v>
      </c>
      <c r="E294" s="5" t="s">
        <v>279</v>
      </c>
      <c r="F294" s="2" t="s">
        <v>372</v>
      </c>
      <c r="G294" s="5" t="s">
        <v>281</v>
      </c>
      <c r="H294" s="8" t="s">
        <v>21</v>
      </c>
      <c r="I294" s="5" t="s">
        <v>22</v>
      </c>
      <c r="J294" s="4" t="s">
        <v>23</v>
      </c>
      <c r="K294" s="3" t="s">
        <v>19</v>
      </c>
      <c r="L294" s="8" t="s">
        <v>24</v>
      </c>
      <c r="M294" s="5" t="s">
        <v>25</v>
      </c>
      <c r="N294" s="2" t="s">
        <v>26</v>
      </c>
      <c r="O294" s="5">
        <v>2</v>
      </c>
      <c r="P294" s="2"/>
      <c r="Q294" s="5"/>
    </row>
    <row r="295" spans="1:17" ht="15.5">
      <c r="A295" s="5">
        <v>276</v>
      </c>
      <c r="B295" s="8" t="s">
        <v>16</v>
      </c>
      <c r="C295" s="5" t="str">
        <f>HYPERLINK("http://data.overheid.nl/data/dataset/beschikbaar-wegennet","Beschikbaar wegennet")</f>
        <v>Beschikbaar wegennet</v>
      </c>
      <c r="D295" s="8" t="s">
        <v>17</v>
      </c>
      <c r="E295" s="5" t="s">
        <v>282</v>
      </c>
      <c r="F295" s="2" t="s">
        <v>372</v>
      </c>
      <c r="G295" s="5" t="s">
        <v>283</v>
      </c>
      <c r="H295" s="8" t="s">
        <v>21</v>
      </c>
      <c r="I295" s="5" t="s">
        <v>22</v>
      </c>
      <c r="J295" s="4" t="s">
        <v>23</v>
      </c>
      <c r="K295" s="3" t="s">
        <v>19</v>
      </c>
      <c r="L295" s="8" t="s">
        <v>24</v>
      </c>
      <c r="M295" s="5" t="s">
        <v>25</v>
      </c>
      <c r="N295" s="2" t="s">
        <v>26</v>
      </c>
      <c r="O295" s="5">
        <v>2</v>
      </c>
      <c r="P295" s="2"/>
      <c r="Q295" s="5"/>
    </row>
    <row r="296" spans="1:17" ht="31">
      <c r="A296" s="5">
        <v>277</v>
      </c>
      <c r="B296" s="8" t="s">
        <v>16</v>
      </c>
      <c r="C296" s="5" t="str">
        <f>HYPERLINK("http://data.overheid.nl/data/dataset/dijkringlijnen","Dijkringlijnen")</f>
        <v>Dijkringlijnen</v>
      </c>
      <c r="D296" s="8" t="s">
        <v>17</v>
      </c>
      <c r="E296" s="5" t="s">
        <v>18</v>
      </c>
      <c r="F296" s="2" t="s">
        <v>372</v>
      </c>
      <c r="G296" s="5" t="s">
        <v>284</v>
      </c>
      <c r="H296" s="8" t="s">
        <v>21</v>
      </c>
      <c r="I296" s="5" t="s">
        <v>22</v>
      </c>
      <c r="J296" s="4" t="s">
        <v>23</v>
      </c>
      <c r="K296" s="3" t="s">
        <v>19</v>
      </c>
      <c r="L296" s="8" t="s">
        <v>24</v>
      </c>
      <c r="M296" s="5" t="s">
        <v>25</v>
      </c>
      <c r="N296" s="2" t="s">
        <v>26</v>
      </c>
      <c r="O296" s="5">
        <v>2</v>
      </c>
      <c r="P296" s="2"/>
      <c r="Q296" s="5"/>
    </row>
    <row r="297" spans="1:17" ht="31">
      <c r="A297" s="5">
        <v>278</v>
      </c>
      <c r="B297" s="8" t="s">
        <v>16</v>
      </c>
      <c r="C297" s="5" t="str">
        <f>HYPERLINK("http://data.overheid.nl/data/dataset/knelpunt-bereikbaarheid","Knelpunt bereikbaarheid")</f>
        <v>Knelpunt bereikbaarheid</v>
      </c>
      <c r="D297" s="8" t="s">
        <v>17</v>
      </c>
      <c r="E297" s="5" t="s">
        <v>18</v>
      </c>
      <c r="F297" s="2" t="s">
        <v>372</v>
      </c>
      <c r="G297" s="5" t="s">
        <v>285</v>
      </c>
      <c r="H297" s="8" t="s">
        <v>21</v>
      </c>
      <c r="I297" s="5" t="s">
        <v>22</v>
      </c>
      <c r="J297" s="4" t="s">
        <v>23</v>
      </c>
      <c r="K297" s="3" t="s">
        <v>19</v>
      </c>
      <c r="L297" s="8" t="s">
        <v>24</v>
      </c>
      <c r="M297" s="5" t="s">
        <v>25</v>
      </c>
      <c r="N297" s="2" t="s">
        <v>26</v>
      </c>
      <c r="O297" s="5">
        <v>2</v>
      </c>
      <c r="P297" s="2"/>
      <c r="Q297" s="5"/>
    </row>
    <row r="298" spans="1:17" ht="15.5">
      <c r="A298" s="5">
        <v>279</v>
      </c>
      <c r="B298" s="8" t="s">
        <v>16</v>
      </c>
      <c r="C298" s="5" t="str">
        <f>HYPERLINK("http://data.overheid.nl/data/dataset/kernen-op-het-verbindend-ov-net-provincie-utrecht","Kernen op het verbindend OV net provincie Utrecht")</f>
        <v>Kernen op het verbindend OV net provincie Utrecht</v>
      </c>
      <c r="D298" s="8" t="s">
        <v>17</v>
      </c>
      <c r="E298" s="5" t="s">
        <v>18</v>
      </c>
      <c r="F298" s="2" t="s">
        <v>372</v>
      </c>
      <c r="G298" s="5" t="s">
        <v>286</v>
      </c>
      <c r="H298" s="8" t="s">
        <v>21</v>
      </c>
      <c r="I298" s="5" t="s">
        <v>22</v>
      </c>
      <c r="J298" s="4" t="s">
        <v>23</v>
      </c>
      <c r="K298" s="3" t="s">
        <v>19</v>
      </c>
      <c r="L298" s="8" t="s">
        <v>24</v>
      </c>
      <c r="M298" s="5" t="s">
        <v>25</v>
      </c>
      <c r="N298" s="2" t="s">
        <v>26</v>
      </c>
      <c r="O298" s="5">
        <v>2</v>
      </c>
      <c r="P298" s="2"/>
      <c r="Q298" s="5"/>
    </row>
    <row r="299" spans="1:17" ht="46.5">
      <c r="A299" s="5">
        <v>280</v>
      </c>
      <c r="B299" s="8" t="s">
        <v>16</v>
      </c>
      <c r="C299" s="5" t="str">
        <f>HYPERLINK("http://data.overheid.nl/data/dataset/verbindende-lijnen-openbaar-vervoer-provincie-utrecht","Verbindende lijnen openbaar vervoer provincie Utrecht")</f>
        <v>Verbindende lijnen openbaar vervoer provincie Utrecht</v>
      </c>
      <c r="D299" s="8" t="s">
        <v>17</v>
      </c>
      <c r="E299" s="5" t="s">
        <v>18</v>
      </c>
      <c r="F299" s="2" t="s">
        <v>372</v>
      </c>
      <c r="G299" s="5" t="s">
        <v>287</v>
      </c>
      <c r="H299" s="8" t="s">
        <v>21</v>
      </c>
      <c r="I299" s="5" t="s">
        <v>22</v>
      </c>
      <c r="J299" s="4" t="s">
        <v>23</v>
      </c>
      <c r="K299" s="3" t="s">
        <v>19</v>
      </c>
      <c r="L299" s="8" t="s">
        <v>24</v>
      </c>
      <c r="M299" s="5" t="s">
        <v>25</v>
      </c>
      <c r="N299" s="2" t="s">
        <v>26</v>
      </c>
      <c r="O299" s="5">
        <v>2</v>
      </c>
      <c r="P299" s="2"/>
      <c r="Q299" s="5"/>
    </row>
    <row r="300" spans="1:17" ht="77.5">
      <c r="A300" s="5">
        <v>281</v>
      </c>
      <c r="B300" s="8" t="s">
        <v>16</v>
      </c>
      <c r="C300" s="5" t="str">
        <f>HYPERLINK("http://data.overheid.nl/data/dataset/selectie-uit-locaties-voorgezet-onderwijs","Selectie uit locaties voorgezet onderwijs")</f>
        <v>Selectie uit locaties voorgezet onderwijs</v>
      </c>
      <c r="D300" s="8" t="s">
        <v>17</v>
      </c>
      <c r="E300" s="5" t="s">
        <v>18</v>
      </c>
      <c r="F300" s="2" t="s">
        <v>372</v>
      </c>
      <c r="G300" s="5" t="s">
        <v>288</v>
      </c>
      <c r="H300" s="8" t="s">
        <v>21</v>
      </c>
      <c r="I300" s="5" t="s">
        <v>22</v>
      </c>
      <c r="J300" s="4" t="s">
        <v>23</v>
      </c>
      <c r="K300" s="3" t="s">
        <v>19</v>
      </c>
      <c r="L300" s="8" t="s">
        <v>24</v>
      </c>
      <c r="M300" s="5" t="s">
        <v>25</v>
      </c>
      <c r="N300" s="2" t="s">
        <v>26</v>
      </c>
      <c r="O300" s="5">
        <v>2</v>
      </c>
      <c r="P300" s="2"/>
      <c r="Q300" s="5"/>
    </row>
    <row r="301" spans="1:17" ht="15.5">
      <c r="A301" s="5">
        <v>282</v>
      </c>
      <c r="B301" s="8" t="s">
        <v>16</v>
      </c>
      <c r="C301" s="5" t="str">
        <f>HYPERLINK("http://data.overheid.nl/data/dataset/regionaal-wegennet-nieuw","Regionaal wegennet nieuw")</f>
        <v>Regionaal wegennet nieuw</v>
      </c>
      <c r="D301" s="8" t="s">
        <v>17</v>
      </c>
      <c r="E301" s="5" t="s">
        <v>18</v>
      </c>
      <c r="F301" s="2" t="s">
        <v>372</v>
      </c>
      <c r="G301" s="5" t="s">
        <v>289</v>
      </c>
      <c r="H301" s="8" t="s">
        <v>21</v>
      </c>
      <c r="I301" s="5" t="s">
        <v>22</v>
      </c>
      <c r="J301" s="4" t="s">
        <v>23</v>
      </c>
      <c r="K301" s="3" t="s">
        <v>19</v>
      </c>
      <c r="L301" s="8" t="s">
        <v>24</v>
      </c>
      <c r="M301" s="5" t="s">
        <v>25</v>
      </c>
      <c r="N301" s="2" t="s">
        <v>26</v>
      </c>
      <c r="O301" s="5">
        <v>2</v>
      </c>
      <c r="P301" s="2"/>
      <c r="Q301" s="5"/>
    </row>
    <row r="302" spans="1:17" ht="31">
      <c r="A302" s="5">
        <v>283</v>
      </c>
      <c r="B302" s="8" t="s">
        <v>16</v>
      </c>
      <c r="C302" s="5" t="str">
        <f>HYPERLINK("http://data.overheid.nl/data/dataset/inter-nationale-knooppunten","(Inter)nationale knooppunten")</f>
        <v>(Inter)nationale knooppunten</v>
      </c>
      <c r="D302" s="8" t="s">
        <v>17</v>
      </c>
      <c r="E302" s="5" t="s">
        <v>18</v>
      </c>
      <c r="F302" s="2" t="s">
        <v>372</v>
      </c>
      <c r="G302" s="5" t="s">
        <v>290</v>
      </c>
      <c r="H302" s="8" t="s">
        <v>21</v>
      </c>
      <c r="I302" s="5" t="s">
        <v>22</v>
      </c>
      <c r="J302" s="4" t="s">
        <v>23</v>
      </c>
      <c r="K302" s="3" t="s">
        <v>19</v>
      </c>
      <c r="L302" s="8" t="s">
        <v>24</v>
      </c>
      <c r="M302" s="5" t="s">
        <v>25</v>
      </c>
      <c r="N302" s="2" t="s">
        <v>26</v>
      </c>
      <c r="O302" s="5">
        <v>2</v>
      </c>
      <c r="P302" s="2"/>
      <c r="Q302" s="5"/>
    </row>
    <row r="303" spans="1:17" ht="46.5">
      <c r="A303" s="5">
        <v>284</v>
      </c>
      <c r="B303" s="8" t="s">
        <v>16</v>
      </c>
      <c r="C303" s="5" t="str">
        <f>HYPERLINK("http://data.overheid.nl/data/dataset/interlokale-utilitaire-hoofdfietsroutes-01","Interlokale utilitaire hoofdfietsroutes")</f>
        <v>Interlokale utilitaire hoofdfietsroutes</v>
      </c>
      <c r="D303" s="8" t="s">
        <v>17</v>
      </c>
      <c r="E303" s="5" t="s">
        <v>18</v>
      </c>
      <c r="F303" s="2" t="s">
        <v>372</v>
      </c>
      <c r="G303" s="5" t="s">
        <v>291</v>
      </c>
      <c r="H303" s="8" t="s">
        <v>21</v>
      </c>
      <c r="I303" s="5" t="s">
        <v>22</v>
      </c>
      <c r="J303" s="4" t="s">
        <v>23</v>
      </c>
      <c r="K303" s="3" t="s">
        <v>19</v>
      </c>
      <c r="L303" s="8" t="s">
        <v>24</v>
      </c>
      <c r="M303" s="5" t="s">
        <v>25</v>
      </c>
      <c r="N303" s="2" t="s">
        <v>26</v>
      </c>
      <c r="O303" s="5">
        <v>2</v>
      </c>
      <c r="P303" s="2"/>
      <c r="Q303" s="5"/>
    </row>
    <row r="304" spans="1:17" ht="62">
      <c r="A304" s="5">
        <v>285</v>
      </c>
      <c r="B304" s="8" t="s">
        <v>16</v>
      </c>
      <c r="C304" s="5" t="str">
        <f>HYPERLINK("http://data.overheid.nl/data/dataset/regionaal-knooppunt","Regionaal knooppunt")</f>
        <v>Regionaal knooppunt</v>
      </c>
      <c r="D304" s="8" t="s">
        <v>17</v>
      </c>
      <c r="E304" s="5" t="s">
        <v>18</v>
      </c>
      <c r="F304" s="2" t="s">
        <v>372</v>
      </c>
      <c r="G304" s="5" t="s">
        <v>292</v>
      </c>
      <c r="H304" s="8" t="s">
        <v>21</v>
      </c>
      <c r="I304" s="5" t="s">
        <v>22</v>
      </c>
      <c r="J304" s="4" t="s">
        <v>23</v>
      </c>
      <c r="K304" s="3" t="s">
        <v>19</v>
      </c>
      <c r="L304" s="8" t="s">
        <v>24</v>
      </c>
      <c r="M304" s="5" t="s">
        <v>25</v>
      </c>
      <c r="N304" s="2" t="s">
        <v>26</v>
      </c>
      <c r="O304" s="5">
        <v>2</v>
      </c>
      <c r="P304" s="2"/>
      <c r="Q304" s="5"/>
    </row>
    <row r="305" spans="1:17" ht="62">
      <c r="A305" s="5">
        <v>286</v>
      </c>
      <c r="B305" s="8" t="s">
        <v>16</v>
      </c>
      <c r="C305" s="5" t="str">
        <f>HYPERLINK("http://data.overheid.nl/data/dataset/overig-knooppunten","Overig knooppunten")</f>
        <v>Overig knooppunten</v>
      </c>
      <c r="D305" s="8" t="s">
        <v>17</v>
      </c>
      <c r="E305" s="5" t="s">
        <v>18</v>
      </c>
      <c r="F305" s="2" t="s">
        <v>372</v>
      </c>
      <c r="G305" s="5" t="s">
        <v>293</v>
      </c>
      <c r="H305" s="8" t="s">
        <v>21</v>
      </c>
      <c r="I305" s="5" t="s">
        <v>22</v>
      </c>
      <c r="J305" s="4" t="s">
        <v>23</v>
      </c>
      <c r="K305" s="3" t="s">
        <v>19</v>
      </c>
      <c r="L305" s="8" t="s">
        <v>24</v>
      </c>
      <c r="M305" s="5" t="s">
        <v>25</v>
      </c>
      <c r="N305" s="2" t="s">
        <v>26</v>
      </c>
      <c r="O305" s="5">
        <v>2</v>
      </c>
      <c r="P305" s="2"/>
      <c r="Q305" s="5"/>
    </row>
    <row r="306" spans="1:17" ht="77.5">
      <c r="A306" s="5">
        <v>287</v>
      </c>
      <c r="B306" s="8" t="s">
        <v>16</v>
      </c>
      <c r="C306" s="5" t="str">
        <f>HYPERLINK("http://data.overheid.nl/data/dataset/regionaal-wegennet-bestaand","Regionaal wegennet bestaand")</f>
        <v>Regionaal wegennet bestaand</v>
      </c>
      <c r="D306" s="8" t="s">
        <v>17</v>
      </c>
      <c r="E306" s="5" t="s">
        <v>18</v>
      </c>
      <c r="F306" s="2" t="s">
        <v>372</v>
      </c>
      <c r="G306" s="5" t="s">
        <v>294</v>
      </c>
      <c r="H306" s="8" t="s">
        <v>21</v>
      </c>
      <c r="I306" s="5" t="s">
        <v>22</v>
      </c>
      <c r="J306" s="4" t="s">
        <v>23</v>
      </c>
      <c r="K306" s="3" t="s">
        <v>19</v>
      </c>
      <c r="L306" s="8" t="s">
        <v>24</v>
      </c>
      <c r="M306" s="5" t="s">
        <v>25</v>
      </c>
      <c r="N306" s="2" t="s">
        <v>26</v>
      </c>
      <c r="O306" s="5">
        <v>2</v>
      </c>
      <c r="P306" s="2"/>
      <c r="Q306" s="5"/>
    </row>
    <row r="307" spans="1:17" ht="31">
      <c r="A307" s="5">
        <v>288</v>
      </c>
      <c r="B307" s="8" t="s">
        <v>16</v>
      </c>
      <c r="C307" s="5" t="str">
        <f>HYPERLINK("http://data.overheid.nl/data/dataset/arbeidsplaatsen","Arbeidsplaatsen")</f>
        <v>Arbeidsplaatsen</v>
      </c>
      <c r="D307" s="8" t="s">
        <v>17</v>
      </c>
      <c r="E307" s="5" t="s">
        <v>18</v>
      </c>
      <c r="F307" s="2" t="s">
        <v>372</v>
      </c>
      <c r="G307" s="5" t="s">
        <v>295</v>
      </c>
      <c r="H307" s="8" t="s">
        <v>21</v>
      </c>
      <c r="I307" s="5" t="s">
        <v>22</v>
      </c>
      <c r="J307" s="4" t="s">
        <v>23</v>
      </c>
      <c r="K307" s="3" t="s">
        <v>19</v>
      </c>
      <c r="L307" s="8" t="s">
        <v>24</v>
      </c>
      <c r="M307" s="5" t="s">
        <v>25</v>
      </c>
      <c r="N307" s="2" t="s">
        <v>26</v>
      </c>
      <c r="O307" s="5">
        <v>2</v>
      </c>
      <c r="P307" s="2"/>
      <c r="Q307" s="5"/>
    </row>
    <row r="308" spans="1:17" ht="31">
      <c r="A308" s="5">
        <v>289</v>
      </c>
      <c r="B308" s="8" t="s">
        <v>16</v>
      </c>
      <c r="C308" s="5" t="str">
        <f>HYPERLINK("http://data.overheid.nl/data/dataset/compartimenterende-wegen","Compartimenterende wegen")</f>
        <v>Compartimenterende wegen</v>
      </c>
      <c r="D308" s="8" t="s">
        <v>17</v>
      </c>
      <c r="E308" s="5" t="s">
        <v>279</v>
      </c>
      <c r="F308" s="2" t="s">
        <v>372</v>
      </c>
      <c r="G308" s="5" t="s">
        <v>296</v>
      </c>
      <c r="H308" s="8" t="s">
        <v>21</v>
      </c>
      <c r="I308" s="5" t="s">
        <v>22</v>
      </c>
      <c r="J308" s="4" t="s">
        <v>23</v>
      </c>
      <c r="K308" s="3" t="s">
        <v>19</v>
      </c>
      <c r="L308" s="8" t="s">
        <v>24</v>
      </c>
      <c r="M308" s="5" t="s">
        <v>25</v>
      </c>
      <c r="N308" s="2" t="s">
        <v>26</v>
      </c>
      <c r="O308" s="5">
        <v>2</v>
      </c>
      <c r="P308" s="2"/>
      <c r="Q308" s="5"/>
    </row>
    <row r="309" spans="1:17" ht="15.5">
      <c r="A309" s="5">
        <v>290</v>
      </c>
      <c r="B309" s="8" t="s">
        <v>16</v>
      </c>
      <c r="C309" s="5" t="str">
        <f>HYPERLINK("http://data.overheid.nl/data/dataset/waterplan-waterkeringen","Waterplan - Waterkeringen")</f>
        <v>Waterplan - Waterkeringen</v>
      </c>
      <c r="D309" s="8" t="s">
        <v>17</v>
      </c>
      <c r="E309" s="5" t="s">
        <v>18</v>
      </c>
      <c r="F309" s="2" t="s">
        <v>372</v>
      </c>
      <c r="G309" s="5" t="s">
        <v>36</v>
      </c>
      <c r="H309" s="8" t="s">
        <v>21</v>
      </c>
      <c r="I309" s="5" t="s">
        <v>22</v>
      </c>
      <c r="J309" s="4" t="s">
        <v>23</v>
      </c>
      <c r="K309" s="3" t="s">
        <v>19</v>
      </c>
      <c r="L309" s="8" t="s">
        <v>24</v>
      </c>
      <c r="M309" s="5" t="s">
        <v>25</v>
      </c>
      <c r="N309" s="2" t="s">
        <v>26</v>
      </c>
      <c r="O309" s="5">
        <v>2</v>
      </c>
      <c r="P309" s="2"/>
      <c r="Q309" s="5"/>
    </row>
    <row r="310" spans="1:17" ht="139.5">
      <c r="A310" s="5">
        <v>291</v>
      </c>
      <c r="B310" s="8" t="s">
        <v>16</v>
      </c>
      <c r="C310" s="5" t="str">
        <f>HYPERLINK("http://data.overheid.nl/data/dataset/signaleringskaart-ext-veiligheid-transp-en-plasbrandaandachtsgebied-wegen","Signaleringskaart ext. veiligheid transp. en plasbrandaandachtsgebied wegen")</f>
        <v>Signaleringskaart ext. veiligheid transp. en plasbrandaandachtsgebied wegen</v>
      </c>
      <c r="D310" s="8" t="s">
        <v>17</v>
      </c>
      <c r="E310" s="5" t="s">
        <v>18</v>
      </c>
      <c r="F310" s="2" t="s">
        <v>372</v>
      </c>
      <c r="G310" s="5" t="s">
        <v>179</v>
      </c>
      <c r="H310" s="8" t="s">
        <v>21</v>
      </c>
      <c r="I310" s="5" t="s">
        <v>22</v>
      </c>
      <c r="J310" s="4" t="s">
        <v>23</v>
      </c>
      <c r="K310" s="3" t="s">
        <v>19</v>
      </c>
      <c r="L310" s="8" t="s">
        <v>24</v>
      </c>
      <c r="M310" s="5" t="s">
        <v>25</v>
      </c>
      <c r="N310" s="2" t="s">
        <v>26</v>
      </c>
      <c r="O310" s="5">
        <v>2</v>
      </c>
      <c r="P310" s="2"/>
      <c r="Q310" s="5"/>
    </row>
    <row r="311" spans="1:17" ht="310">
      <c r="A311" s="5">
        <v>292</v>
      </c>
      <c r="B311" s="8" t="s">
        <v>16</v>
      </c>
      <c r="C311" s="5" t="str">
        <f>HYPERLINK("http://data.overheid.nl/data/dataset/gebieden-met-verdrogingsgevoelige-natuur","Gebieden met verdrogingsgevoelige natuur")</f>
        <v>Gebieden met verdrogingsgevoelige natuur</v>
      </c>
      <c r="D311" s="8" t="s">
        <v>17</v>
      </c>
      <c r="E311" s="5" t="s">
        <v>18</v>
      </c>
      <c r="F311" s="2" t="s">
        <v>372</v>
      </c>
      <c r="G311" s="5" t="s">
        <v>297</v>
      </c>
      <c r="H311" s="8" t="s">
        <v>21</v>
      </c>
      <c r="I311" s="5" t="s">
        <v>22</v>
      </c>
      <c r="J311" s="4" t="s">
        <v>23</v>
      </c>
      <c r="K311" s="3" t="s">
        <v>19</v>
      </c>
      <c r="L311" s="8" t="s">
        <v>24</v>
      </c>
      <c r="M311" s="5" t="s">
        <v>25</v>
      </c>
      <c r="N311" s="2" t="s">
        <v>26</v>
      </c>
      <c r="O311" s="5">
        <v>2</v>
      </c>
      <c r="P311" s="2"/>
      <c r="Q311" s="5"/>
    </row>
    <row r="312" spans="1:17" ht="62">
      <c r="A312" s="5">
        <v>293</v>
      </c>
      <c r="B312" s="8" t="s">
        <v>16</v>
      </c>
      <c r="C312" s="5" t="str">
        <f>HYPERLINK("http://data.overheid.nl/data/dataset/gebieden-agenda-vitaal-platteland-oost-en-west","Gebieden Agenda Vitaal Platteland, oost en west")</f>
        <v>Gebieden Agenda Vitaal Platteland, oost en west</v>
      </c>
      <c r="D312" s="8" t="s">
        <v>17</v>
      </c>
      <c r="E312" s="5" t="s">
        <v>298</v>
      </c>
      <c r="F312" s="2" t="s">
        <v>372</v>
      </c>
      <c r="G312" s="5" t="s">
        <v>299</v>
      </c>
      <c r="H312" s="8" t="s">
        <v>21</v>
      </c>
      <c r="I312" s="5" t="s">
        <v>22</v>
      </c>
      <c r="J312" s="4" t="s">
        <v>23</v>
      </c>
      <c r="K312" s="3" t="s">
        <v>19</v>
      </c>
      <c r="L312" s="8" t="s">
        <v>24</v>
      </c>
      <c r="M312" s="5" t="s">
        <v>25</v>
      </c>
      <c r="N312" s="2" t="s">
        <v>26</v>
      </c>
      <c r="O312" s="5">
        <v>2</v>
      </c>
      <c r="P312" s="2"/>
      <c r="Q312" s="5"/>
    </row>
    <row r="313" spans="1:17" ht="124">
      <c r="A313" s="5">
        <v>294</v>
      </c>
      <c r="B313" s="8" t="s">
        <v>16</v>
      </c>
      <c r="C313" s="5" t="str">
        <f>HYPERLINK("http://data.overheid.nl/data/dataset/prs-kaart-3-klimaat-gezondheid-en-veiligheid-01","PRS Kaart 3 Klimaat, gezondheid en veiligheid")</f>
        <v>PRS Kaart 3 Klimaat, gezondheid en veiligheid</v>
      </c>
      <c r="D313" s="8" t="s">
        <v>17</v>
      </c>
      <c r="E313" s="5" t="s">
        <v>18</v>
      </c>
      <c r="F313" s="2" t="s">
        <v>372</v>
      </c>
      <c r="G313" s="5" t="s">
        <v>300</v>
      </c>
      <c r="H313" s="8" t="s">
        <v>21</v>
      </c>
      <c r="I313" s="5" t="s">
        <v>22</v>
      </c>
      <c r="J313" s="4" t="s">
        <v>23</v>
      </c>
      <c r="K313" s="3" t="s">
        <v>19</v>
      </c>
      <c r="L313" s="8" t="s">
        <v>24</v>
      </c>
      <c r="M313" s="5" t="s">
        <v>25</v>
      </c>
      <c r="N313" s="2" t="s">
        <v>26</v>
      </c>
      <c r="O313" s="5">
        <v>1</v>
      </c>
      <c r="P313" s="2"/>
      <c r="Q313" s="5"/>
    </row>
    <row r="314" spans="1:17" ht="77.5">
      <c r="A314" s="5">
        <v>295</v>
      </c>
      <c r="B314" s="8" t="s">
        <v>16</v>
      </c>
      <c r="C314" s="5" t="str">
        <f>HYPERLINK("http://data.overheid.nl/data/dataset/prs-kaart-11-landbouw-01","PRS kaart 11 Landbouw")</f>
        <v>PRS kaart 11 Landbouw</v>
      </c>
      <c r="D314" s="8" t="s">
        <v>17</v>
      </c>
      <c r="E314" s="5" t="s">
        <v>18</v>
      </c>
      <c r="F314" s="2" t="s">
        <v>372</v>
      </c>
      <c r="G314" s="5" t="s">
        <v>301</v>
      </c>
      <c r="H314" s="8" t="s">
        <v>21</v>
      </c>
      <c r="I314" s="5" t="s">
        <v>22</v>
      </c>
      <c r="J314" s="4" t="s">
        <v>23</v>
      </c>
      <c r="K314" s="3" t="s">
        <v>19</v>
      </c>
      <c r="L314" s="8" t="s">
        <v>24</v>
      </c>
      <c r="M314" s="5" t="s">
        <v>25</v>
      </c>
      <c r="N314" s="2" t="s">
        <v>26</v>
      </c>
      <c r="O314" s="5">
        <v>1</v>
      </c>
      <c r="P314" s="2"/>
      <c r="Q314" s="5"/>
    </row>
    <row r="315" spans="1:17" ht="15.5">
      <c r="A315" s="5">
        <v>296</v>
      </c>
      <c r="B315" s="8" t="s">
        <v>16</v>
      </c>
      <c r="C315" s="5" t="str">
        <f>HYPERLINK("http://data.overheid.nl/data/dataset/prv-kaart-3-cultuurhistorie-01","PRV kaart 3 Cultuurhistorie")</f>
        <v>PRV kaart 3 Cultuurhistorie</v>
      </c>
      <c r="D315" s="8" t="s">
        <v>17</v>
      </c>
      <c r="E315" s="5" t="s">
        <v>18</v>
      </c>
      <c r="F315" s="2" t="s">
        <v>372</v>
      </c>
      <c r="G315" s="5" t="s">
        <v>302</v>
      </c>
      <c r="H315" s="8" t="s">
        <v>21</v>
      </c>
      <c r="I315" s="5" t="s">
        <v>22</v>
      </c>
      <c r="J315" s="4" t="s">
        <v>23</v>
      </c>
      <c r="K315" s="3" t="s">
        <v>19</v>
      </c>
      <c r="L315" s="8" t="s">
        <v>24</v>
      </c>
      <c r="M315" s="5" t="s">
        <v>25</v>
      </c>
      <c r="N315" s="2" t="s">
        <v>26</v>
      </c>
      <c r="O315" s="5">
        <v>1</v>
      </c>
      <c r="P315" s="2"/>
      <c r="Q315" s="5"/>
    </row>
    <row r="316" spans="1:17" ht="248">
      <c r="A316" s="5">
        <v>297</v>
      </c>
      <c r="B316" s="8" t="s">
        <v>16</v>
      </c>
      <c r="C316" s="5" t="str">
        <f>HYPERLINK("http://data.overheid.nl/data/dataset/prs-kaart-7-regionale-uitwerking","PRS kaart 7 Regionale uitwerking")</f>
        <v>PRS kaart 7 Regionale uitwerking</v>
      </c>
      <c r="D316" s="8" t="s">
        <v>17</v>
      </c>
      <c r="E316" s="5" t="s">
        <v>18</v>
      </c>
      <c r="F316" s="2" t="s">
        <v>372</v>
      </c>
      <c r="G316" s="5" t="s">
        <v>303</v>
      </c>
      <c r="H316" s="8" t="s">
        <v>21</v>
      </c>
      <c r="I316" s="5" t="s">
        <v>22</v>
      </c>
      <c r="J316" s="4" t="s">
        <v>23</v>
      </c>
      <c r="K316" s="3" t="s">
        <v>19</v>
      </c>
      <c r="L316" s="8" t="s">
        <v>24</v>
      </c>
      <c r="M316" s="5" t="s">
        <v>25</v>
      </c>
      <c r="N316" s="2" t="s">
        <v>26</v>
      </c>
      <c r="O316" s="5">
        <v>1</v>
      </c>
      <c r="P316" s="2"/>
      <c r="Q316" s="5"/>
    </row>
    <row r="317" spans="1:17" ht="139.5">
      <c r="A317" s="5">
        <v>298</v>
      </c>
      <c r="B317" s="8" t="s">
        <v>16</v>
      </c>
      <c r="C317" s="5" t="str">
        <f>HYPERLINK("http://data.overheid.nl/data/dataset/prs-kaart-4-cultuurhistorie","PRS kaart 4 Cultuurhistorie")</f>
        <v>PRS kaart 4 Cultuurhistorie</v>
      </c>
      <c r="D317" s="8" t="s">
        <v>17</v>
      </c>
      <c r="E317" s="5" t="s">
        <v>18</v>
      </c>
      <c r="F317" s="2" t="s">
        <v>372</v>
      </c>
      <c r="G317" s="5" t="s">
        <v>304</v>
      </c>
      <c r="H317" s="8" t="s">
        <v>21</v>
      </c>
      <c r="I317" s="5" t="s">
        <v>22</v>
      </c>
      <c r="J317" s="4" t="s">
        <v>23</v>
      </c>
      <c r="K317" s="3" t="s">
        <v>19</v>
      </c>
      <c r="L317" s="8" t="s">
        <v>24</v>
      </c>
      <c r="M317" s="5" t="s">
        <v>25</v>
      </c>
      <c r="N317" s="2" t="s">
        <v>26</v>
      </c>
      <c r="O317" s="5">
        <v>1</v>
      </c>
      <c r="P317" s="2"/>
      <c r="Q317" s="5"/>
    </row>
    <row r="318" spans="1:17" ht="155">
      <c r="A318" s="5">
        <v>299</v>
      </c>
      <c r="B318" s="8" t="s">
        <v>16</v>
      </c>
      <c r="C318" s="5" t="str">
        <f>HYPERLINK("http://data.overheid.nl/data/dataset/prs-kaart-1-bodem","PRS Kaart 1 Bodem")</f>
        <v>PRS Kaart 1 Bodem</v>
      </c>
      <c r="D318" s="8" t="s">
        <v>17</v>
      </c>
      <c r="E318" s="5" t="s">
        <v>18</v>
      </c>
      <c r="F318" s="2" t="s">
        <v>372</v>
      </c>
      <c r="G318" s="5" t="s">
        <v>305</v>
      </c>
      <c r="H318" s="8" t="s">
        <v>21</v>
      </c>
      <c r="I318" s="5" t="s">
        <v>22</v>
      </c>
      <c r="J318" s="4" t="s">
        <v>23</v>
      </c>
      <c r="K318" s="3" t="s">
        <v>19</v>
      </c>
      <c r="L318" s="8" t="s">
        <v>24</v>
      </c>
      <c r="M318" s="5" t="s">
        <v>25</v>
      </c>
      <c r="N318" s="2" t="s">
        <v>26</v>
      </c>
      <c r="O318" s="5">
        <v>1</v>
      </c>
      <c r="P318" s="2"/>
      <c r="Q318" s="5"/>
    </row>
    <row r="319" spans="1:17" ht="15.5">
      <c r="A319" s="5">
        <v>300</v>
      </c>
      <c r="B319" s="8" t="s">
        <v>16</v>
      </c>
      <c r="C319" s="5" t="str">
        <f>HYPERLINK("http://data.overheid.nl/data/dataset/prv-kaart-6-landelijk-gebied-01","PRV kaart 6 Landelijk gebied")</f>
        <v>PRV kaart 6 Landelijk gebied</v>
      </c>
      <c r="D319" s="8" t="s">
        <v>17</v>
      </c>
      <c r="E319" s="5" t="s">
        <v>18</v>
      </c>
      <c r="F319" s="2" t="s">
        <v>372</v>
      </c>
      <c r="G319" s="5" t="s">
        <v>306</v>
      </c>
      <c r="H319" s="8" t="s">
        <v>21</v>
      </c>
      <c r="I319" s="5" t="s">
        <v>22</v>
      </c>
      <c r="J319" s="4" t="s">
        <v>23</v>
      </c>
      <c r="K319" s="3" t="s">
        <v>19</v>
      </c>
      <c r="L319" s="8" t="s">
        <v>24</v>
      </c>
      <c r="M319" s="5" t="s">
        <v>25</v>
      </c>
      <c r="N319" s="2" t="s">
        <v>26</v>
      </c>
      <c r="O319" s="5">
        <v>1</v>
      </c>
      <c r="P319" s="2"/>
      <c r="Q319" s="5"/>
    </row>
    <row r="320" spans="1:17" ht="139.5">
      <c r="A320" s="5">
        <v>301</v>
      </c>
      <c r="B320" s="8" t="s">
        <v>16</v>
      </c>
      <c r="C320" s="5" t="str">
        <f>HYPERLINK("http://data.overheid.nl/data/dataset/prs-kaart-9-landschap","PRS kaart 9 Landschap")</f>
        <v>PRS kaart 9 Landschap</v>
      </c>
      <c r="D320" s="8" t="s">
        <v>17</v>
      </c>
      <c r="E320" s="5" t="s">
        <v>18</v>
      </c>
      <c r="F320" s="2" t="s">
        <v>372</v>
      </c>
      <c r="G320" s="5" t="s">
        <v>307</v>
      </c>
      <c r="H320" s="8" t="s">
        <v>21</v>
      </c>
      <c r="I320" s="5" t="s">
        <v>22</v>
      </c>
      <c r="J320" s="4" t="s">
        <v>23</v>
      </c>
      <c r="K320" s="3" t="s">
        <v>19</v>
      </c>
      <c r="L320" s="8" t="s">
        <v>24</v>
      </c>
      <c r="M320" s="5" t="s">
        <v>25</v>
      </c>
      <c r="N320" s="2" t="s">
        <v>26</v>
      </c>
      <c r="O320" s="5">
        <v>1</v>
      </c>
      <c r="P320" s="2"/>
      <c r="Q320" s="5"/>
    </row>
    <row r="321" spans="1:17" ht="15.5">
      <c r="A321" s="5">
        <v>302</v>
      </c>
      <c r="B321" s="8" t="s">
        <v>16</v>
      </c>
      <c r="C321" s="5" t="str">
        <f>HYPERLINK("http://data.overheid.nl/data/dataset/prv-kaart-5-verkeer-en-vervoer","PRV kaart 5 Verkeer en vervoer")</f>
        <v>PRV kaart 5 Verkeer en vervoer</v>
      </c>
      <c r="D321" s="8" t="s">
        <v>17</v>
      </c>
      <c r="E321" s="5" t="s">
        <v>18</v>
      </c>
      <c r="F321" s="2" t="s">
        <v>372</v>
      </c>
      <c r="G321" s="5" t="s">
        <v>308</v>
      </c>
      <c r="H321" s="8" t="s">
        <v>21</v>
      </c>
      <c r="I321" s="5" t="s">
        <v>22</v>
      </c>
      <c r="J321" s="4" t="s">
        <v>23</v>
      </c>
      <c r="K321" s="3" t="s">
        <v>19</v>
      </c>
      <c r="L321" s="8" t="s">
        <v>24</v>
      </c>
      <c r="M321" s="5" t="s">
        <v>25</v>
      </c>
      <c r="N321" s="2" t="s">
        <v>26</v>
      </c>
      <c r="O321" s="5">
        <v>1</v>
      </c>
      <c r="P321" s="2"/>
      <c r="Q321" s="5"/>
    </row>
    <row r="322" spans="1:17" ht="15.5">
      <c r="A322" s="5">
        <v>303</v>
      </c>
      <c r="B322" s="8" t="s">
        <v>16</v>
      </c>
      <c r="C322" s="5" t="str">
        <f>HYPERLINK("http://data.overheid.nl/data/dataset/prv-kaart-2-duurzame-energie","PRV kaart 2 Duurzame energie")</f>
        <v>PRV kaart 2 Duurzame energie</v>
      </c>
      <c r="D322" s="8" t="s">
        <v>17</v>
      </c>
      <c r="E322" s="5" t="s">
        <v>18</v>
      </c>
      <c r="F322" s="2" t="s">
        <v>372</v>
      </c>
      <c r="G322" s="5" t="s">
        <v>309</v>
      </c>
      <c r="H322" s="8" t="s">
        <v>21</v>
      </c>
      <c r="I322" s="5" t="s">
        <v>22</v>
      </c>
      <c r="J322" s="4" t="s">
        <v>23</v>
      </c>
      <c r="K322" s="3" t="s">
        <v>19</v>
      </c>
      <c r="L322" s="8" t="s">
        <v>24</v>
      </c>
      <c r="M322" s="5" t="s">
        <v>25</v>
      </c>
      <c r="N322" s="2" t="s">
        <v>26</v>
      </c>
      <c r="O322" s="5">
        <v>1</v>
      </c>
      <c r="P322" s="2"/>
      <c r="Q322" s="5"/>
    </row>
    <row r="323" spans="1:17" ht="15.5">
      <c r="A323" s="5">
        <v>304</v>
      </c>
      <c r="B323" s="8" t="s">
        <v>16</v>
      </c>
      <c r="C323" s="5" t="str">
        <f>HYPERLINK("http://data.overheid.nl/data/dataset/prv-kaart-10-landbouw-01","PRV kaart 10 Landbouw")</f>
        <v>PRV kaart 10 Landbouw</v>
      </c>
      <c r="D323" s="8" t="s">
        <v>17</v>
      </c>
      <c r="E323" s="5" t="s">
        <v>18</v>
      </c>
      <c r="F323" s="2" t="s">
        <v>372</v>
      </c>
      <c r="G323" s="5" t="s">
        <v>310</v>
      </c>
      <c r="H323" s="8" t="s">
        <v>21</v>
      </c>
      <c r="I323" s="5" t="s">
        <v>22</v>
      </c>
      <c r="J323" s="4" t="s">
        <v>23</v>
      </c>
      <c r="K323" s="3" t="s">
        <v>19</v>
      </c>
      <c r="L323" s="8" t="s">
        <v>24</v>
      </c>
      <c r="M323" s="5" t="s">
        <v>25</v>
      </c>
      <c r="N323" s="2" t="s">
        <v>26</v>
      </c>
      <c r="O323" s="5">
        <v>1</v>
      </c>
      <c r="P323" s="2"/>
      <c r="Q323" s="5"/>
    </row>
    <row r="324" spans="1:17" ht="46.5">
      <c r="A324" s="5">
        <v>305</v>
      </c>
      <c r="B324" s="8" t="s">
        <v>16</v>
      </c>
      <c r="C324" s="5" t="str">
        <f>HYPERLINK("http://data.overheid.nl/data/dataset/prs-kaart-13-recreatie","PRS kaart 13 Recreatie")</f>
        <v>PRS kaart 13 Recreatie</v>
      </c>
      <c r="D324" s="8" t="s">
        <v>17</v>
      </c>
      <c r="E324" s="5" t="s">
        <v>18</v>
      </c>
      <c r="F324" s="2" t="s">
        <v>372</v>
      </c>
      <c r="G324" s="5" t="s">
        <v>311</v>
      </c>
      <c r="H324" s="8" t="s">
        <v>21</v>
      </c>
      <c r="I324" s="5" t="s">
        <v>22</v>
      </c>
      <c r="J324" s="4" t="s">
        <v>23</v>
      </c>
      <c r="K324" s="3" t="s">
        <v>19</v>
      </c>
      <c r="L324" s="8" t="s">
        <v>24</v>
      </c>
      <c r="M324" s="5" t="s">
        <v>25</v>
      </c>
      <c r="N324" s="2" t="s">
        <v>26</v>
      </c>
      <c r="O324" s="5">
        <v>1</v>
      </c>
      <c r="P324" s="2"/>
      <c r="Q324" s="5"/>
    </row>
    <row r="325" spans="1:17" ht="124">
      <c r="A325" s="5">
        <v>306</v>
      </c>
      <c r="B325" s="8" t="s">
        <v>16</v>
      </c>
      <c r="C325" s="5" t="str">
        <f>HYPERLINK("http://data.overheid.nl/data/dataset/prs-kaart-10-natuur","PRS Kaart 10 Natuur")</f>
        <v>PRS Kaart 10 Natuur</v>
      </c>
      <c r="D325" s="8" t="s">
        <v>17</v>
      </c>
      <c r="E325" s="5" t="s">
        <v>18</v>
      </c>
      <c r="F325" s="2" t="s">
        <v>372</v>
      </c>
      <c r="G325" s="5" t="s">
        <v>226</v>
      </c>
      <c r="H325" s="8" t="s">
        <v>21</v>
      </c>
      <c r="I325" s="5" t="s">
        <v>22</v>
      </c>
      <c r="J325" s="4" t="s">
        <v>23</v>
      </c>
      <c r="K325" s="3" t="s">
        <v>19</v>
      </c>
      <c r="L325" s="8" t="s">
        <v>24</v>
      </c>
      <c r="M325" s="5" t="s">
        <v>25</v>
      </c>
      <c r="N325" s="2" t="s">
        <v>26</v>
      </c>
      <c r="O325" s="5">
        <v>1</v>
      </c>
      <c r="P325" s="2"/>
      <c r="Q325" s="5"/>
    </row>
    <row r="326" spans="1:17" ht="15.5">
      <c r="A326" s="5">
        <v>307</v>
      </c>
      <c r="B326" s="8" t="s">
        <v>16</v>
      </c>
      <c r="C326" s="5" t="str">
        <f>HYPERLINK("http://data.overheid.nl/data/dataset/prv-kaart-4-wonen-en-werken","PRV kaart 4 Wonen en werken")</f>
        <v>PRV kaart 4 Wonen en werken</v>
      </c>
      <c r="D326" s="8" t="s">
        <v>17</v>
      </c>
      <c r="E326" s="5" t="s">
        <v>18</v>
      </c>
      <c r="F326" s="2" t="s">
        <v>372</v>
      </c>
      <c r="G326" s="5" t="s">
        <v>312</v>
      </c>
      <c r="H326" s="8" t="s">
        <v>21</v>
      </c>
      <c r="I326" s="5" t="s">
        <v>22</v>
      </c>
      <c r="J326" s="4" t="s">
        <v>23</v>
      </c>
      <c r="K326" s="3" t="s">
        <v>19</v>
      </c>
      <c r="L326" s="8" t="s">
        <v>24</v>
      </c>
      <c r="M326" s="5" t="s">
        <v>25</v>
      </c>
      <c r="N326" s="2" t="s">
        <v>26</v>
      </c>
      <c r="O326" s="5">
        <v>1</v>
      </c>
      <c r="P326" s="2"/>
      <c r="Q326" s="5"/>
    </row>
    <row r="327" spans="1:17" ht="15.5">
      <c r="A327" s="5">
        <v>308</v>
      </c>
      <c r="B327" s="8" t="s">
        <v>16</v>
      </c>
      <c r="C327" s="5" t="str">
        <f>HYPERLINK("http://data.overheid.nl/data/dataset/prv-kaart-7-landschap","PRV kaart 7 Landschap")</f>
        <v>PRV kaart 7 Landschap</v>
      </c>
      <c r="D327" s="8" t="s">
        <v>17</v>
      </c>
      <c r="E327" s="5" t="s">
        <v>18</v>
      </c>
      <c r="F327" s="2" t="s">
        <v>372</v>
      </c>
      <c r="G327" s="5" t="s">
        <v>313</v>
      </c>
      <c r="H327" s="8" t="s">
        <v>21</v>
      </c>
      <c r="I327" s="5" t="s">
        <v>22</v>
      </c>
      <c r="J327" s="4" t="s">
        <v>23</v>
      </c>
      <c r="K327" s="3" t="s">
        <v>19</v>
      </c>
      <c r="L327" s="8" t="s">
        <v>24</v>
      </c>
      <c r="M327" s="5" t="s">
        <v>25</v>
      </c>
      <c r="N327" s="2" t="s">
        <v>26</v>
      </c>
      <c r="O327" s="5">
        <v>1</v>
      </c>
      <c r="P327" s="2"/>
      <c r="Q327" s="5"/>
    </row>
    <row r="328" spans="1:17" ht="201.5">
      <c r="A328" s="5">
        <v>309</v>
      </c>
      <c r="B328" s="8" t="s">
        <v>16</v>
      </c>
      <c r="C328" s="5" t="str">
        <f>HYPERLINK("http://data.overheid.nl/data/dataset/prs-kaart-12-reconstructie","PRS kaart 12 Reconstructie")</f>
        <v>PRS kaart 12 Reconstructie</v>
      </c>
      <c r="D328" s="8" t="s">
        <v>17</v>
      </c>
      <c r="E328" s="5" t="s">
        <v>18</v>
      </c>
      <c r="F328" s="2" t="s">
        <v>372</v>
      </c>
      <c r="G328" s="5" t="s">
        <v>314</v>
      </c>
      <c r="H328" s="8" t="s">
        <v>21</v>
      </c>
      <c r="I328" s="5" t="s">
        <v>22</v>
      </c>
      <c r="J328" s="4" t="s">
        <v>23</v>
      </c>
      <c r="K328" s="3" t="s">
        <v>19</v>
      </c>
      <c r="L328" s="8" t="s">
        <v>24</v>
      </c>
      <c r="M328" s="5" t="s">
        <v>25</v>
      </c>
      <c r="N328" s="2" t="s">
        <v>26</v>
      </c>
      <c r="O328" s="5">
        <v>1</v>
      </c>
      <c r="P328" s="2"/>
      <c r="Q328" s="5"/>
    </row>
    <row r="329" spans="1:17" ht="155">
      <c r="A329" s="5">
        <v>310</v>
      </c>
      <c r="B329" s="8" t="s">
        <v>16</v>
      </c>
      <c r="C329" s="5" t="str">
        <f>HYPERLINK("http://data.overheid.nl/data/dataset/prs-kaart-2-water","PRS kaart 2 Water")</f>
        <v>PRS kaart 2 Water</v>
      </c>
      <c r="D329" s="8" t="s">
        <v>17</v>
      </c>
      <c r="E329" s="5" t="s">
        <v>18</v>
      </c>
      <c r="F329" s="2" t="s">
        <v>372</v>
      </c>
      <c r="G329" s="5" t="s">
        <v>305</v>
      </c>
      <c r="H329" s="8" t="s">
        <v>21</v>
      </c>
      <c r="I329" s="5" t="s">
        <v>22</v>
      </c>
      <c r="J329" s="4" t="s">
        <v>23</v>
      </c>
      <c r="K329" s="3" t="s">
        <v>19</v>
      </c>
      <c r="L329" s="8" t="s">
        <v>24</v>
      </c>
      <c r="M329" s="5" t="s">
        <v>25</v>
      </c>
      <c r="N329" s="2" t="s">
        <v>26</v>
      </c>
      <c r="O329" s="5">
        <v>1</v>
      </c>
      <c r="P329" s="2"/>
      <c r="Q329" s="5"/>
    </row>
    <row r="330" spans="1:17" ht="15.5">
      <c r="A330" s="5">
        <v>311</v>
      </c>
      <c r="B330" s="8" t="s">
        <v>16</v>
      </c>
      <c r="C330" s="5" t="str">
        <f>HYPERLINK("http://data.overheid.nl/data/dataset/prv-kaart-8-natuur-01","PRV kaart 8 Natuur")</f>
        <v>PRV kaart 8 Natuur</v>
      </c>
      <c r="D330" s="8" t="s">
        <v>17</v>
      </c>
      <c r="E330" s="5" t="s">
        <v>18</v>
      </c>
      <c r="F330" s="2" t="s">
        <v>372</v>
      </c>
      <c r="G330" s="5" t="s">
        <v>315</v>
      </c>
      <c r="H330" s="8" t="s">
        <v>21</v>
      </c>
      <c r="I330" s="5" t="s">
        <v>22</v>
      </c>
      <c r="J330" s="4" t="s">
        <v>23</v>
      </c>
      <c r="K330" s="3" t="s">
        <v>19</v>
      </c>
      <c r="L330" s="8" t="s">
        <v>24</v>
      </c>
      <c r="M330" s="5" t="s">
        <v>25</v>
      </c>
      <c r="N330" s="2" t="s">
        <v>26</v>
      </c>
      <c r="O330" s="5">
        <v>1</v>
      </c>
      <c r="P330" s="2"/>
      <c r="Q330" s="5"/>
    </row>
    <row r="331" spans="1:17" ht="170.5">
      <c r="A331" s="5">
        <v>312</v>
      </c>
      <c r="B331" s="8" t="s">
        <v>16</v>
      </c>
      <c r="C331" s="5" t="str">
        <f>HYPERLINK("http://data.overheid.nl/data/dataset/prs-kaart-13-recreatie-01","PRS kaart 13 Recreatie")</f>
        <v>PRS kaart 13 Recreatie</v>
      </c>
      <c r="D331" s="8" t="s">
        <v>17</v>
      </c>
      <c r="E331" s="5" t="s">
        <v>18</v>
      </c>
      <c r="F331" s="2" t="s">
        <v>372</v>
      </c>
      <c r="G331" s="5" t="s">
        <v>316</v>
      </c>
      <c r="H331" s="8" t="s">
        <v>21</v>
      </c>
      <c r="I331" s="5" t="s">
        <v>22</v>
      </c>
      <c r="J331" s="4" t="s">
        <v>23</v>
      </c>
      <c r="K331" s="3" t="s">
        <v>19</v>
      </c>
      <c r="L331" s="8" t="s">
        <v>24</v>
      </c>
      <c r="M331" s="5" t="s">
        <v>25</v>
      </c>
      <c r="N331" s="2" t="s">
        <v>26</v>
      </c>
      <c r="O331" s="5">
        <v>1</v>
      </c>
      <c r="P331" s="2"/>
      <c r="Q331" s="5"/>
    </row>
    <row r="332" spans="1:17" ht="217">
      <c r="A332" s="5">
        <v>313</v>
      </c>
      <c r="B332" s="8" t="s">
        <v>16</v>
      </c>
      <c r="C332" s="5" t="str">
        <f>HYPERLINK("http://data.overheid.nl/data/dataset/prs-kaart-5-wonen-en-werken","PRS kaart 5 Wonen en werken")</f>
        <v>PRS kaart 5 Wonen en werken</v>
      </c>
      <c r="D332" s="8" t="s">
        <v>17</v>
      </c>
      <c r="E332" s="5" t="s">
        <v>18</v>
      </c>
      <c r="F332" s="2" t="s">
        <v>372</v>
      </c>
      <c r="G332" s="5" t="s">
        <v>317</v>
      </c>
      <c r="H332" s="8" t="s">
        <v>21</v>
      </c>
      <c r="I332" s="5" t="s">
        <v>22</v>
      </c>
      <c r="J332" s="4" t="s">
        <v>23</v>
      </c>
      <c r="K332" s="3" t="s">
        <v>19</v>
      </c>
      <c r="L332" s="8" t="s">
        <v>24</v>
      </c>
      <c r="M332" s="5" t="s">
        <v>25</v>
      </c>
      <c r="N332" s="2" t="s">
        <v>26</v>
      </c>
      <c r="O332" s="5">
        <v>1</v>
      </c>
      <c r="P332" s="2"/>
      <c r="Q332" s="5"/>
    </row>
    <row r="333" spans="1:17" ht="77.5">
      <c r="A333" s="5">
        <v>314</v>
      </c>
      <c r="B333" s="8" t="s">
        <v>16</v>
      </c>
      <c r="C333" s="5" t="str">
        <f>HYPERLINK("http://data.overheid.nl/data/dataset/prs-kaart-8-landelijk-gebied","PRS kaart 8 Landelijk gebied")</f>
        <v>PRS kaart 8 Landelijk gebied</v>
      </c>
      <c r="D333" s="8" t="s">
        <v>17</v>
      </c>
      <c r="E333" s="5" t="s">
        <v>18</v>
      </c>
      <c r="F333" s="2" t="s">
        <v>372</v>
      </c>
      <c r="G333" s="5" t="s">
        <v>318</v>
      </c>
      <c r="H333" s="8" t="s">
        <v>21</v>
      </c>
      <c r="I333" s="5" t="s">
        <v>22</v>
      </c>
      <c r="J333" s="4" t="s">
        <v>23</v>
      </c>
      <c r="K333" s="3" t="s">
        <v>19</v>
      </c>
      <c r="L333" s="8" t="s">
        <v>24</v>
      </c>
      <c r="M333" s="5" t="s">
        <v>25</v>
      </c>
      <c r="N333" s="2" t="s">
        <v>26</v>
      </c>
      <c r="O333" s="5">
        <v>1</v>
      </c>
      <c r="P333" s="2"/>
      <c r="Q333" s="5"/>
    </row>
    <row r="334" spans="1:17" ht="15.5">
      <c r="A334" s="5">
        <v>315</v>
      </c>
      <c r="B334" s="8" t="s">
        <v>16</v>
      </c>
      <c r="C334" s="5" t="str">
        <f>HYPERLINK("http://data.overheid.nl/data/dataset/prv-kaart-9-recreatie","PRV kaart 9 Recreatie")</f>
        <v>PRV kaart 9 Recreatie</v>
      </c>
      <c r="D334" s="8" t="s">
        <v>17</v>
      </c>
      <c r="E334" s="5" t="s">
        <v>18</v>
      </c>
      <c r="F334" s="2" t="s">
        <v>372</v>
      </c>
      <c r="G334" s="5" t="s">
        <v>319</v>
      </c>
      <c r="H334" s="8" t="s">
        <v>21</v>
      </c>
      <c r="I334" s="5" t="s">
        <v>22</v>
      </c>
      <c r="J334" s="4" t="s">
        <v>23</v>
      </c>
      <c r="K334" s="3" t="s">
        <v>19</v>
      </c>
      <c r="L334" s="8" t="s">
        <v>24</v>
      </c>
      <c r="M334" s="5" t="s">
        <v>25</v>
      </c>
      <c r="N334" s="2" t="s">
        <v>26</v>
      </c>
      <c r="O334" s="5">
        <v>1</v>
      </c>
      <c r="P334" s="2"/>
      <c r="Q334" s="5"/>
    </row>
    <row r="335" spans="1:17" ht="15.5">
      <c r="A335" s="5">
        <v>316</v>
      </c>
      <c r="B335" s="8" t="s">
        <v>16</v>
      </c>
      <c r="C335" s="5" t="str">
        <f>HYPERLINK("http://data.overheid.nl/data/dataset/prv-kaart-1-bodem-en-water","PRV kaart 1 Bodem en Water")</f>
        <v>PRV kaart 1 Bodem en Water</v>
      </c>
      <c r="D335" s="8" t="s">
        <v>17</v>
      </c>
      <c r="E335" s="5" t="s">
        <v>18</v>
      </c>
      <c r="F335" s="2" t="s">
        <v>372</v>
      </c>
      <c r="G335" s="5" t="s">
        <v>320</v>
      </c>
      <c r="H335" s="8" t="s">
        <v>21</v>
      </c>
      <c r="I335" s="5" t="s">
        <v>22</v>
      </c>
      <c r="J335" s="4" t="s">
        <v>23</v>
      </c>
      <c r="K335" s="3" t="s">
        <v>19</v>
      </c>
      <c r="L335" s="8" t="s">
        <v>24</v>
      </c>
      <c r="M335" s="5" t="s">
        <v>25</v>
      </c>
      <c r="N335" s="2" t="s">
        <v>26</v>
      </c>
      <c r="O335" s="5">
        <v>1</v>
      </c>
      <c r="P335" s="2"/>
      <c r="Q335" s="5"/>
    </row>
    <row r="336" spans="1:17" ht="15.5">
      <c r="A336" s="5">
        <v>317</v>
      </c>
      <c r="B336" s="8" t="s">
        <v>16</v>
      </c>
      <c r="C336" s="5" t="str">
        <f>HYPERLINK("http://data.overheid.nl/data/dataset/trajectplanning-onderhoud-provinciale-wegen","Trajectplanning onderhoud provinciale wegen")</f>
        <v>Trajectplanning onderhoud provinciale wegen</v>
      </c>
      <c r="D336" s="8" t="s">
        <v>17</v>
      </c>
      <c r="E336" s="5" t="s">
        <v>18</v>
      </c>
      <c r="F336" s="2" t="s">
        <v>372</v>
      </c>
      <c r="G336" s="5" t="s">
        <v>321</v>
      </c>
      <c r="H336" s="8" t="s">
        <v>21</v>
      </c>
      <c r="I336" s="5" t="s">
        <v>22</v>
      </c>
      <c r="J336" s="4" t="s">
        <v>23</v>
      </c>
      <c r="K336" s="3" t="s">
        <v>19</v>
      </c>
      <c r="L336" s="8" t="s">
        <v>24</v>
      </c>
      <c r="M336" s="5" t="s">
        <v>25</v>
      </c>
      <c r="N336" s="2" t="s">
        <v>26</v>
      </c>
      <c r="O336" s="5">
        <v>2</v>
      </c>
      <c r="P336" s="2"/>
      <c r="Q336" s="5"/>
    </row>
    <row r="337" spans="1:17" ht="108.5">
      <c r="A337" s="5">
        <v>327</v>
      </c>
      <c r="B337" s="8" t="s">
        <v>16</v>
      </c>
      <c r="C337" s="5" t="str">
        <f>HYPERLINK("http://data.overheid.nl/data/dataset/biodiversiteit-weidevogelgebieden","Biodiversiteit - weidevogelgebieden")</f>
        <v>Biodiversiteit - weidevogelgebieden</v>
      </c>
      <c r="D337" s="8" t="s">
        <v>17</v>
      </c>
      <c r="E337" s="5" t="s">
        <v>18</v>
      </c>
      <c r="F337" s="2" t="s">
        <v>372</v>
      </c>
      <c r="G337" s="5" t="s">
        <v>323</v>
      </c>
      <c r="H337" s="8" t="s">
        <v>21</v>
      </c>
      <c r="I337" s="5" t="s">
        <v>22</v>
      </c>
      <c r="J337" s="4" t="s">
        <v>23</v>
      </c>
      <c r="K337" s="3" t="s">
        <v>19</v>
      </c>
      <c r="L337" s="8" t="s">
        <v>24</v>
      </c>
      <c r="M337" s="5" t="s">
        <v>25</v>
      </c>
      <c r="N337" s="2" t="s">
        <v>26</v>
      </c>
      <c r="O337" s="5">
        <v>2</v>
      </c>
      <c r="P337" s="2"/>
      <c r="Q337" s="5"/>
    </row>
    <row r="338" spans="1:17" ht="31">
      <c r="A338" s="5">
        <v>328</v>
      </c>
      <c r="B338" s="8" t="s">
        <v>16</v>
      </c>
      <c r="C338" s="5" t="str">
        <f>HYPERLINK("http://data.overheid.nl/data/dataset/chat-monumenten-mip","CHAT - monumenten (MIP)")</f>
        <v>CHAT - monumenten (MIP)</v>
      </c>
      <c r="D338" s="8" t="s">
        <v>17</v>
      </c>
      <c r="E338" s="5" t="s">
        <v>18</v>
      </c>
      <c r="F338" s="2" t="s">
        <v>372</v>
      </c>
      <c r="G338" s="5" t="s">
        <v>324</v>
      </c>
      <c r="H338" s="8" t="s">
        <v>21</v>
      </c>
      <c r="I338" s="5" t="s">
        <v>22</v>
      </c>
      <c r="J338" s="4" t="s">
        <v>23</v>
      </c>
      <c r="K338" s="3" t="s">
        <v>19</v>
      </c>
      <c r="L338" s="8" t="s">
        <v>24</v>
      </c>
      <c r="M338" s="5" t="s">
        <v>25</v>
      </c>
      <c r="N338" s="2" t="s">
        <v>26</v>
      </c>
      <c r="O338" s="5">
        <v>2</v>
      </c>
      <c r="P338" s="2"/>
      <c r="Q338" s="5"/>
    </row>
    <row r="339" spans="1:17" ht="62">
      <c r="A339" s="5">
        <v>329</v>
      </c>
      <c r="B339" s="8" t="s">
        <v>16</v>
      </c>
      <c r="C339" s="5" t="str">
        <f>HYPERLINK("http://data.overheid.nl/data/dataset/recreatieve-zonering-rond-utrecht-en-amersfoort-visie","Recreatieve zonering rond Utrecht en Amersfoort - Visie")</f>
        <v>Recreatieve zonering rond Utrecht en Amersfoort - Visie</v>
      </c>
      <c r="D339" s="8" t="s">
        <v>17</v>
      </c>
      <c r="E339" s="5" t="s">
        <v>18</v>
      </c>
      <c r="F339" s="2" t="s">
        <v>372</v>
      </c>
      <c r="G339" s="5" t="s">
        <v>325</v>
      </c>
      <c r="H339" s="8" t="s">
        <v>21</v>
      </c>
      <c r="I339" s="5" t="s">
        <v>22</v>
      </c>
      <c r="J339" s="4" t="s">
        <v>23</v>
      </c>
      <c r="K339" s="3" t="s">
        <v>19</v>
      </c>
      <c r="L339" s="8" t="s">
        <v>24</v>
      </c>
      <c r="M339" s="5" t="s">
        <v>25</v>
      </c>
      <c r="N339" s="2" t="s">
        <v>26</v>
      </c>
      <c r="O339" s="5">
        <v>2</v>
      </c>
      <c r="P339" s="2"/>
      <c r="Q339" s="5"/>
    </row>
    <row r="340" spans="1:17" ht="15.5">
      <c r="A340" s="5">
        <v>330</v>
      </c>
      <c r="B340" s="8" t="s">
        <v>16</v>
      </c>
      <c r="C340" s="5" t="str">
        <f>HYPERLINK("http://data.overheid.nl/data/dataset/dino-gegevens-van-no3-in-grondwater-1900-2006","DINO-gegevens van NO3 in grondwater 1900-2006")</f>
        <v>DINO-gegevens van NO3 in grondwater 1900-2006</v>
      </c>
      <c r="D340" s="8" t="s">
        <v>17</v>
      </c>
      <c r="E340" s="5" t="s">
        <v>18</v>
      </c>
      <c r="F340" s="2" t="s">
        <v>372</v>
      </c>
      <c r="G340" s="5" t="s">
        <v>326</v>
      </c>
      <c r="H340" s="8" t="s">
        <v>21</v>
      </c>
      <c r="I340" s="5" t="s">
        <v>22</v>
      </c>
      <c r="J340" s="4" t="s">
        <v>23</v>
      </c>
      <c r="K340" s="3" t="s">
        <v>19</v>
      </c>
      <c r="L340" s="8" t="s">
        <v>24</v>
      </c>
      <c r="M340" s="5" t="s">
        <v>25</v>
      </c>
      <c r="N340" s="2" t="s">
        <v>26</v>
      </c>
      <c r="O340" s="5">
        <v>2</v>
      </c>
      <c r="P340" s="2"/>
      <c r="Q340" s="5"/>
    </row>
    <row r="341" spans="1:17" ht="15.5">
      <c r="A341" s="5">
        <v>331</v>
      </c>
      <c r="B341" s="8" t="s">
        <v>16</v>
      </c>
      <c r="C341" s="5" t="str">
        <f>HYPERLINK("http://data.overheid.nl/data/dataset/dino-gegevens-van-ph-in-grondwater-1900-2006","DINO-gegevens van pH in grondwater 1900-2006")</f>
        <v>DINO-gegevens van pH in grondwater 1900-2006</v>
      </c>
      <c r="D341" s="8" t="s">
        <v>17</v>
      </c>
      <c r="E341" s="5" t="s">
        <v>18</v>
      </c>
      <c r="F341" s="2" t="s">
        <v>372</v>
      </c>
      <c r="G341" s="5" t="s">
        <v>327</v>
      </c>
      <c r="H341" s="8" t="s">
        <v>21</v>
      </c>
      <c r="I341" s="5" t="s">
        <v>22</v>
      </c>
      <c r="J341" s="4" t="s">
        <v>23</v>
      </c>
      <c r="K341" s="3" t="s">
        <v>19</v>
      </c>
      <c r="L341" s="8" t="s">
        <v>24</v>
      </c>
      <c r="M341" s="5" t="s">
        <v>25</v>
      </c>
      <c r="N341" s="2" t="s">
        <v>26</v>
      </c>
      <c r="O341" s="5">
        <v>2</v>
      </c>
      <c r="P341" s="2"/>
      <c r="Q341" s="5"/>
    </row>
    <row r="342" spans="1:17" ht="46.5">
      <c r="A342" s="5">
        <v>332</v>
      </c>
      <c r="B342" s="8" t="s">
        <v>16</v>
      </c>
      <c r="C342" s="5" t="str">
        <f>HYPERLINK("http://data.overheid.nl/data/dataset/risico-op-fluxverandering-kwel-infiltratie-bij-vergraving-deel-deklaag","Risico op fluxverandering kwel-/infiltratie bij vergraving (deel) deklaag")</f>
        <v>Risico op fluxverandering kwel-/infiltratie bij vergraving (deel) deklaag</v>
      </c>
      <c r="D342" s="8" t="s">
        <v>17</v>
      </c>
      <c r="E342" s="5" t="s">
        <v>18</v>
      </c>
      <c r="F342" s="2" t="s">
        <v>372</v>
      </c>
      <c r="G342" s="5" t="s">
        <v>328</v>
      </c>
      <c r="H342" s="8" t="s">
        <v>21</v>
      </c>
      <c r="I342" s="5" t="s">
        <v>22</v>
      </c>
      <c r="J342" s="4" t="s">
        <v>23</v>
      </c>
      <c r="K342" s="3" t="s">
        <v>19</v>
      </c>
      <c r="L342" s="8" t="s">
        <v>24</v>
      </c>
      <c r="M342" s="5" t="s">
        <v>25</v>
      </c>
      <c r="N342" s="2" t="s">
        <v>26</v>
      </c>
      <c r="O342" s="5">
        <v>2</v>
      </c>
      <c r="P342" s="2"/>
      <c r="Q342" s="5"/>
    </row>
    <row r="343" spans="1:17" ht="15.5">
      <c r="A343" s="5">
        <v>333</v>
      </c>
      <c r="B343" s="8" t="s">
        <v>16</v>
      </c>
      <c r="C343" s="5" t="str">
        <f>HYPERLINK("http://data.overheid.nl/data/dataset/meetresultaten-stikstof-grondwatermeetnet","Meetresultaten stikstof grondwatermeetnet")</f>
        <v>Meetresultaten stikstof grondwatermeetnet</v>
      </c>
      <c r="D343" s="8" t="s">
        <v>17</v>
      </c>
      <c r="E343" s="5" t="s">
        <v>18</v>
      </c>
      <c r="F343" s="2" t="s">
        <v>372</v>
      </c>
      <c r="G343" s="5" t="s">
        <v>329</v>
      </c>
      <c r="H343" s="8" t="s">
        <v>21</v>
      </c>
      <c r="I343" s="5" t="s">
        <v>22</v>
      </c>
      <c r="J343" s="4" t="s">
        <v>23</v>
      </c>
      <c r="K343" s="3" t="s">
        <v>19</v>
      </c>
      <c r="L343" s="8" t="s">
        <v>24</v>
      </c>
      <c r="M343" s="5" t="s">
        <v>25</v>
      </c>
      <c r="N343" s="2" t="s">
        <v>26</v>
      </c>
      <c r="O343" s="5">
        <v>2</v>
      </c>
      <c r="P343" s="2"/>
      <c r="Q343" s="5"/>
    </row>
    <row r="344" spans="1:17" ht="31">
      <c r="A344" s="5">
        <v>334</v>
      </c>
      <c r="B344" s="8" t="s">
        <v>16</v>
      </c>
      <c r="C344" s="5" t="str">
        <f>HYPERLINK("http://data.overheid.nl/data/dataset/habitattypen-kritische-depositiewaarden-van-stikstof","Habitattypen - kritische depositiewaarden van stikstof")</f>
        <v>Habitattypen - kritische depositiewaarden van stikstof</v>
      </c>
      <c r="D344" s="8" t="s">
        <v>17</v>
      </c>
      <c r="E344" s="5" t="s">
        <v>18</v>
      </c>
      <c r="F344" s="2" t="s">
        <v>372</v>
      </c>
      <c r="G344" s="5" t="s">
        <v>330</v>
      </c>
      <c r="H344" s="8" t="s">
        <v>21</v>
      </c>
      <c r="I344" s="5" t="s">
        <v>22</v>
      </c>
      <c r="J344" s="4" t="s">
        <v>23</v>
      </c>
      <c r="K344" s="3" t="s">
        <v>19</v>
      </c>
      <c r="L344" s="8" t="s">
        <v>24</v>
      </c>
      <c r="M344" s="5" t="s">
        <v>25</v>
      </c>
      <c r="N344" s="2" t="s">
        <v>26</v>
      </c>
      <c r="O344" s="5">
        <v>2</v>
      </c>
      <c r="P344" s="2"/>
      <c r="Q344" s="5"/>
    </row>
    <row r="345" spans="1:17" ht="31">
      <c r="A345" s="5">
        <v>336</v>
      </c>
      <c r="B345" s="8" t="s">
        <v>16</v>
      </c>
      <c r="C345" s="5" t="str">
        <f>HYPERLINK("http://data.overheid.nl/data/dataset/poorten-en-toeristische-overstap-punten-top","Poorten en Toeristische Overstap Punten (TOP)")</f>
        <v>Poorten en Toeristische Overstap Punten (TOP)</v>
      </c>
      <c r="D345" s="8" t="s">
        <v>17</v>
      </c>
      <c r="E345" s="5" t="s">
        <v>18</v>
      </c>
      <c r="F345" s="2" t="s">
        <v>372</v>
      </c>
      <c r="G345" s="5" t="s">
        <v>332</v>
      </c>
      <c r="H345" s="8" t="s">
        <v>21</v>
      </c>
      <c r="I345" s="5" t="s">
        <v>22</v>
      </c>
      <c r="J345" s="4" t="s">
        <v>23</v>
      </c>
      <c r="K345" s="3" t="s">
        <v>19</v>
      </c>
      <c r="L345" s="8" t="s">
        <v>24</v>
      </c>
      <c r="M345" s="5" t="s">
        <v>25</v>
      </c>
      <c r="N345" s="2" t="s">
        <v>26</v>
      </c>
      <c r="O345" s="5">
        <v>2</v>
      </c>
      <c r="P345" s="2"/>
      <c r="Q345" s="5"/>
    </row>
    <row r="346" spans="1:17" ht="31">
      <c r="A346" s="5">
        <v>337</v>
      </c>
      <c r="B346" s="8" t="s">
        <v>16</v>
      </c>
      <c r="C346" s="5" t="str">
        <f>HYPERLINK("http://data.overheid.nl/data/dataset/waterparels","Waterparels")</f>
        <v>Waterparels</v>
      </c>
      <c r="D346" s="8" t="s">
        <v>17</v>
      </c>
      <c r="E346" s="5" t="s">
        <v>18</v>
      </c>
      <c r="F346" s="2" t="s">
        <v>372</v>
      </c>
      <c r="G346" s="5" t="s">
        <v>333</v>
      </c>
      <c r="H346" s="8" t="s">
        <v>21</v>
      </c>
      <c r="I346" s="5" t="s">
        <v>22</v>
      </c>
      <c r="J346" s="4" t="s">
        <v>23</v>
      </c>
      <c r="K346" s="3" t="s">
        <v>19</v>
      </c>
      <c r="L346" s="8" t="s">
        <v>24</v>
      </c>
      <c r="M346" s="5" t="s">
        <v>25</v>
      </c>
      <c r="N346" s="2" t="s">
        <v>26</v>
      </c>
      <c r="O346" s="5">
        <v>2</v>
      </c>
      <c r="P346" s="2"/>
      <c r="Q346" s="5"/>
    </row>
    <row r="347" spans="1:17" ht="62">
      <c r="A347" s="5">
        <v>338</v>
      </c>
      <c r="B347" s="8" t="s">
        <v>16</v>
      </c>
      <c r="C347" s="5" t="str">
        <f>HYPERLINK("http://data.overheid.nl/data/dataset/clusters-pm10-wegen","Clusters PM10 - wegen")</f>
        <v>Clusters PM10 - wegen</v>
      </c>
      <c r="D347" s="8" t="s">
        <v>17</v>
      </c>
      <c r="E347" s="5" t="s">
        <v>18</v>
      </c>
      <c r="F347" s="2" t="s">
        <v>372</v>
      </c>
      <c r="G347" s="5" t="s">
        <v>334</v>
      </c>
      <c r="H347" s="8" t="s">
        <v>21</v>
      </c>
      <c r="I347" s="5" t="s">
        <v>22</v>
      </c>
      <c r="J347" s="4" t="s">
        <v>23</v>
      </c>
      <c r="K347" s="3" t="s">
        <v>19</v>
      </c>
      <c r="L347" s="8" t="s">
        <v>24</v>
      </c>
      <c r="M347" s="5" t="s">
        <v>25</v>
      </c>
      <c r="N347" s="2" t="s">
        <v>26</v>
      </c>
      <c r="O347" s="5">
        <v>2</v>
      </c>
      <c r="P347" s="2"/>
      <c r="Q347" s="5"/>
    </row>
    <row r="348" spans="1:17" ht="62">
      <c r="A348" s="5">
        <v>339</v>
      </c>
      <c r="B348" s="8" t="s">
        <v>16</v>
      </c>
      <c r="C348" s="5" t="str">
        <f>HYPERLINK("http://data.overheid.nl/data/dataset/clusters-pm2-5-wegen","Clusters PM10 - wegen")</f>
        <v>Clusters PM10 - wegen</v>
      </c>
      <c r="D348" s="8" t="s">
        <v>17</v>
      </c>
      <c r="E348" s="5" t="s">
        <v>18</v>
      </c>
      <c r="F348" s="2" t="s">
        <v>372</v>
      </c>
      <c r="G348" s="5" t="s">
        <v>334</v>
      </c>
      <c r="H348" s="8" t="s">
        <v>21</v>
      </c>
      <c r="I348" s="5" t="s">
        <v>22</v>
      </c>
      <c r="J348" s="4" t="s">
        <v>23</v>
      </c>
      <c r="K348" s="3" t="s">
        <v>19</v>
      </c>
      <c r="L348" s="8" t="s">
        <v>24</v>
      </c>
      <c r="M348" s="5" t="s">
        <v>25</v>
      </c>
      <c r="N348" s="2" t="s">
        <v>26</v>
      </c>
      <c r="O348" s="5">
        <v>2</v>
      </c>
      <c r="P348" s="2"/>
      <c r="Q348" s="5"/>
    </row>
    <row r="349" spans="1:17" ht="31">
      <c r="A349" s="5">
        <v>340</v>
      </c>
      <c r="B349" s="8" t="s">
        <v>16</v>
      </c>
      <c r="C349" s="5" t="str">
        <f>HYPERLINK("http://data.overheid.nl/data/dataset/beheergrens-van-de-n-wegen","Beheergrens van de N-wegen")</f>
        <v>Beheergrens van de N-wegen</v>
      </c>
      <c r="D349" s="8" t="s">
        <v>17</v>
      </c>
      <c r="E349" s="5" t="s">
        <v>18</v>
      </c>
      <c r="F349" s="2" t="s">
        <v>372</v>
      </c>
      <c r="G349" s="5" t="s">
        <v>335</v>
      </c>
      <c r="H349" s="8" t="s">
        <v>21</v>
      </c>
      <c r="I349" s="5" t="s">
        <v>22</v>
      </c>
      <c r="J349" s="4" t="s">
        <v>23</v>
      </c>
      <c r="K349" s="3" t="s">
        <v>19</v>
      </c>
      <c r="L349" s="8" t="s">
        <v>24</v>
      </c>
      <c r="M349" s="5" t="s">
        <v>25</v>
      </c>
      <c r="N349" s="2" t="s">
        <v>26</v>
      </c>
      <c r="O349" s="5">
        <v>2</v>
      </c>
      <c r="P349" s="2"/>
      <c r="Q349" s="5"/>
    </row>
    <row r="350" spans="1:17" ht="15.5">
      <c r="A350" s="5">
        <v>341</v>
      </c>
      <c r="B350" s="8" t="s">
        <v>16</v>
      </c>
      <c r="C350" s="5" t="str">
        <f>HYPERLINK("http://data.overheid.nl/data/dataset/bushaltes","Bushaltes")</f>
        <v>Bushaltes</v>
      </c>
      <c r="D350" s="8" t="s">
        <v>17</v>
      </c>
      <c r="E350" s="5" t="s">
        <v>18</v>
      </c>
      <c r="F350" s="2" t="s">
        <v>372</v>
      </c>
      <c r="G350" s="5" t="s">
        <v>336</v>
      </c>
      <c r="H350" s="8" t="s">
        <v>21</v>
      </c>
      <c r="I350" s="5" t="s">
        <v>22</v>
      </c>
      <c r="J350" s="4" t="s">
        <v>23</v>
      </c>
      <c r="K350" s="3" t="s">
        <v>19</v>
      </c>
      <c r="L350" s="8" t="s">
        <v>24</v>
      </c>
      <c r="M350" s="5" t="s">
        <v>25</v>
      </c>
      <c r="N350" s="2" t="s">
        <v>26</v>
      </c>
      <c r="O350" s="5">
        <v>1</v>
      </c>
      <c r="P350" s="2"/>
      <c r="Q350" s="5"/>
    </row>
    <row r="351" spans="1:17" ht="62">
      <c r="A351" s="5">
        <v>342</v>
      </c>
      <c r="B351" s="8" t="s">
        <v>16</v>
      </c>
      <c r="C351" s="5" t="str">
        <f>HYPERLINK("http://data.overheid.nl/data/dataset/contouren-geluidsbelasting-provinciale-wegen-totaal","Contouren geluidsbelasting provinciale wegen totaal")</f>
        <v>Contouren geluidsbelasting provinciale wegen totaal</v>
      </c>
      <c r="D351" s="8" t="s">
        <v>17</v>
      </c>
      <c r="E351" s="5" t="s">
        <v>18</v>
      </c>
      <c r="F351" s="2" t="s">
        <v>372</v>
      </c>
      <c r="G351" s="5" t="s">
        <v>337</v>
      </c>
      <c r="H351" s="8" t="s">
        <v>21</v>
      </c>
      <c r="I351" s="5" t="s">
        <v>22</v>
      </c>
      <c r="J351" s="4" t="s">
        <v>23</v>
      </c>
      <c r="K351" s="3" t="s">
        <v>19</v>
      </c>
      <c r="L351" s="8" t="s">
        <v>24</v>
      </c>
      <c r="M351" s="5" t="s">
        <v>25</v>
      </c>
      <c r="N351" s="2" t="s">
        <v>26</v>
      </c>
      <c r="O351" s="5">
        <v>2</v>
      </c>
      <c r="P351" s="2"/>
      <c r="Q351" s="5"/>
    </row>
    <row r="352" spans="1:17" ht="31">
      <c r="A352" s="5">
        <v>343</v>
      </c>
      <c r="B352" s="8" t="s">
        <v>16</v>
      </c>
      <c r="C352" s="5" t="str">
        <f>HYPERLINK("http://data.overheid.nl/data/dataset/gebieden-waar-geothermie-niet-strijdig-is-met-het-provinciaal-belang","Gebieden waar geothermie niet strijdig is met het provinciaal belang")</f>
        <v>Gebieden waar geothermie niet strijdig is met het provinciaal belang</v>
      </c>
      <c r="D352" s="8" t="s">
        <v>17</v>
      </c>
      <c r="E352" s="5" t="s">
        <v>18</v>
      </c>
      <c r="F352" s="2" t="s">
        <v>372</v>
      </c>
      <c r="G352" s="5" t="s">
        <v>338</v>
      </c>
      <c r="H352" s="8" t="s">
        <v>21</v>
      </c>
      <c r="I352" s="5" t="s">
        <v>22</v>
      </c>
      <c r="J352" s="4" t="s">
        <v>23</v>
      </c>
      <c r="K352" s="3" t="s">
        <v>19</v>
      </c>
      <c r="L352" s="8" t="s">
        <v>24</v>
      </c>
      <c r="M352" s="5" t="s">
        <v>25</v>
      </c>
      <c r="N352" s="2" t="s">
        <v>26</v>
      </c>
      <c r="O352" s="5">
        <v>2</v>
      </c>
      <c r="P352" s="2"/>
      <c r="Q352" s="5"/>
    </row>
    <row r="353" spans="1:17" ht="170.5">
      <c r="A353" s="5">
        <v>344</v>
      </c>
      <c r="B353" s="8" t="s">
        <v>16</v>
      </c>
      <c r="C353" s="5" t="str">
        <f>HYPERLINK("http://data.overheid.nl/data/dataset/economische-haalbaarheid-van-geothermie-voor-grootverbruikers","Economische haalbaarheid van geothermie voor grootverbruikers")</f>
        <v>Economische haalbaarheid van geothermie voor grootverbruikers</v>
      </c>
      <c r="D353" s="8" t="s">
        <v>17</v>
      </c>
      <c r="E353" s="5" t="s">
        <v>18</v>
      </c>
      <c r="F353" s="2" t="s">
        <v>372</v>
      </c>
      <c r="G353" s="5" t="s">
        <v>339</v>
      </c>
      <c r="H353" s="8" t="s">
        <v>21</v>
      </c>
      <c r="I353" s="5" t="s">
        <v>22</v>
      </c>
      <c r="J353" s="4" t="s">
        <v>23</v>
      </c>
      <c r="K353" s="3" t="s">
        <v>19</v>
      </c>
      <c r="L353" s="8" t="s">
        <v>24</v>
      </c>
      <c r="M353" s="5" t="s">
        <v>25</v>
      </c>
      <c r="N353" s="2" t="s">
        <v>26</v>
      </c>
      <c r="O353" s="5">
        <v>2</v>
      </c>
      <c r="P353" s="2"/>
      <c r="Q353" s="5"/>
    </row>
    <row r="354" spans="1:17" ht="170.5">
      <c r="A354" s="5">
        <v>345</v>
      </c>
      <c r="B354" s="8" t="s">
        <v>16</v>
      </c>
      <c r="C354" s="5" t="str">
        <f>HYPERLINK("http://data.overheid.nl/data/dataset/economische-haalbaarheid-van-zonnewarmte-voor-kleinverbruikers","Economische haalbaarheid van zonnewarmte voor kleinverbruikers")</f>
        <v>Economische haalbaarheid van zonnewarmte voor kleinverbruikers</v>
      </c>
      <c r="D354" s="8" t="s">
        <v>17</v>
      </c>
      <c r="E354" s="5" t="s">
        <v>18</v>
      </c>
      <c r="F354" s="2" t="s">
        <v>372</v>
      </c>
      <c r="G354" s="5" t="s">
        <v>339</v>
      </c>
      <c r="H354" s="8" t="s">
        <v>21</v>
      </c>
      <c r="I354" s="5" t="s">
        <v>22</v>
      </c>
      <c r="J354" s="4" t="s">
        <v>23</v>
      </c>
      <c r="K354" s="3" t="s">
        <v>19</v>
      </c>
      <c r="L354" s="8" t="s">
        <v>24</v>
      </c>
      <c r="M354" s="5" t="s">
        <v>25</v>
      </c>
      <c r="N354" s="2" t="s">
        <v>26</v>
      </c>
      <c r="O354" s="5">
        <v>2</v>
      </c>
      <c r="P354" s="2"/>
      <c r="Q354" s="5"/>
    </row>
    <row r="355" spans="1:17" ht="170.5">
      <c r="A355" s="5">
        <v>346</v>
      </c>
      <c r="B355" s="8" t="s">
        <v>16</v>
      </c>
      <c r="C355" s="5" t="str">
        <f>HYPERLINK("http://data.overheid.nl/data/dataset/economische-haalbaarheid-van-geothermie-voor-kleinverbruikers","Economische haalbaarheid van geothermie voor kleinverbruikers")</f>
        <v>Economische haalbaarheid van geothermie voor kleinverbruikers</v>
      </c>
      <c r="D355" s="8" t="s">
        <v>17</v>
      </c>
      <c r="E355" s="5" t="s">
        <v>18</v>
      </c>
      <c r="F355" s="2" t="s">
        <v>372</v>
      </c>
      <c r="G355" s="5" t="s">
        <v>339</v>
      </c>
      <c r="H355" s="8" t="s">
        <v>21</v>
      </c>
      <c r="I355" s="5" t="s">
        <v>22</v>
      </c>
      <c r="J355" s="4" t="s">
        <v>23</v>
      </c>
      <c r="K355" s="3" t="s">
        <v>19</v>
      </c>
      <c r="L355" s="8" t="s">
        <v>24</v>
      </c>
      <c r="M355" s="5" t="s">
        <v>25</v>
      </c>
      <c r="N355" s="2" t="s">
        <v>26</v>
      </c>
      <c r="O355" s="5">
        <v>2</v>
      </c>
      <c r="P355" s="2"/>
      <c r="Q355" s="5"/>
    </row>
    <row r="356" spans="1:17" ht="170.5">
      <c r="A356" s="5">
        <v>347</v>
      </c>
      <c r="B356" s="8" t="s">
        <v>16</v>
      </c>
      <c r="C356" s="5" t="str">
        <f>HYPERLINK("http://data.overheid.nl/data/dataset/economische-haalbaarheid-van-zonnewarmte-voor-grootverbruikers","Economische haalbaarheid van zonnewarmte voor grootverbruikers")</f>
        <v>Economische haalbaarheid van zonnewarmte voor grootverbruikers</v>
      </c>
      <c r="D356" s="8" t="s">
        <v>17</v>
      </c>
      <c r="E356" s="5" t="s">
        <v>18</v>
      </c>
      <c r="F356" s="2" t="s">
        <v>372</v>
      </c>
      <c r="G356" s="5" t="s">
        <v>339</v>
      </c>
      <c r="H356" s="8" t="s">
        <v>21</v>
      </c>
      <c r="I356" s="5" t="s">
        <v>22</v>
      </c>
      <c r="J356" s="4" t="s">
        <v>23</v>
      </c>
      <c r="K356" s="3" t="s">
        <v>19</v>
      </c>
      <c r="L356" s="8" t="s">
        <v>24</v>
      </c>
      <c r="M356" s="5" t="s">
        <v>25</v>
      </c>
      <c r="N356" s="2" t="s">
        <v>26</v>
      </c>
      <c r="O356" s="5">
        <v>2</v>
      </c>
      <c r="P356" s="2"/>
      <c r="Q356" s="5"/>
    </row>
    <row r="357" spans="1:17" ht="170.5">
      <c r="A357" s="5">
        <v>348</v>
      </c>
      <c r="B357" s="8" t="s">
        <v>16</v>
      </c>
      <c r="C357" s="5" t="str">
        <f>HYPERLINK("http://data.overheid.nl/data/dataset/economische-haalbaarheid-van-puntbronnen-voor-kleinverbruikers","Economische haalbaarheid van puntbronnen voor kleinverbruikers")</f>
        <v>Economische haalbaarheid van puntbronnen voor kleinverbruikers</v>
      </c>
      <c r="D357" s="8" t="s">
        <v>17</v>
      </c>
      <c r="E357" s="5" t="s">
        <v>18</v>
      </c>
      <c r="F357" s="2" t="s">
        <v>372</v>
      </c>
      <c r="G357" s="5" t="s">
        <v>339</v>
      </c>
      <c r="H357" s="8" t="s">
        <v>21</v>
      </c>
      <c r="I357" s="5" t="s">
        <v>22</v>
      </c>
      <c r="J357" s="4" t="s">
        <v>23</v>
      </c>
      <c r="K357" s="3" t="s">
        <v>19</v>
      </c>
      <c r="L357" s="8" t="s">
        <v>24</v>
      </c>
      <c r="M357" s="5" t="s">
        <v>25</v>
      </c>
      <c r="N357" s="2" t="s">
        <v>26</v>
      </c>
      <c r="O357" s="5">
        <v>2</v>
      </c>
      <c r="P357" s="2"/>
      <c r="Q357" s="5"/>
    </row>
    <row r="358" spans="1:17" ht="31">
      <c r="A358" s="5">
        <v>349</v>
      </c>
      <c r="B358" s="8" t="s">
        <v>16</v>
      </c>
      <c r="C358" s="5" t="str">
        <f>HYPERLINK("http://data.overheid.nl/data/dataset/gebieden-waar-geothermie-strijdig-is-met-het-provinciaal-belang","Gebieden waar geothermie strijdig is met het provinciaal belang")</f>
        <v>Gebieden waar geothermie strijdig is met het provinciaal belang</v>
      </c>
      <c r="D358" s="8" t="s">
        <v>17</v>
      </c>
      <c r="E358" s="5" t="s">
        <v>18</v>
      </c>
      <c r="F358" s="2" t="s">
        <v>372</v>
      </c>
      <c r="G358" s="5" t="s">
        <v>340</v>
      </c>
      <c r="H358" s="8" t="s">
        <v>21</v>
      </c>
      <c r="I358" s="5" t="s">
        <v>22</v>
      </c>
      <c r="J358" s="4" t="s">
        <v>23</v>
      </c>
      <c r="K358" s="3" t="s">
        <v>19</v>
      </c>
      <c r="L358" s="8" t="s">
        <v>24</v>
      </c>
      <c r="M358" s="5" t="s">
        <v>25</v>
      </c>
      <c r="N358" s="2" t="s">
        <v>26</v>
      </c>
      <c r="O358" s="5">
        <v>2</v>
      </c>
      <c r="P358" s="2"/>
      <c r="Q358" s="5"/>
    </row>
    <row r="359" spans="1:17" ht="15.5">
      <c r="A359" s="5">
        <v>350</v>
      </c>
      <c r="B359" s="8" t="s">
        <v>16</v>
      </c>
      <c r="C359" s="5" t="str">
        <f>HYPERLINK("http://data.overheid.nl/data/dataset/regimesnelheden-2016","Regimesnelheden 2016")</f>
        <v>Regimesnelheden 2016</v>
      </c>
      <c r="D359" s="8" t="s">
        <v>17</v>
      </c>
      <c r="E359" s="5" t="s">
        <v>18</v>
      </c>
      <c r="F359" s="2" t="s">
        <v>372</v>
      </c>
      <c r="G359" s="5" t="s">
        <v>341</v>
      </c>
      <c r="H359" s="8" t="s">
        <v>21</v>
      </c>
      <c r="I359" s="5" t="s">
        <v>22</v>
      </c>
      <c r="J359" s="4" t="s">
        <v>23</v>
      </c>
      <c r="K359" s="3" t="s">
        <v>19</v>
      </c>
      <c r="L359" s="8" t="s">
        <v>24</v>
      </c>
      <c r="M359" s="5" t="s">
        <v>25</v>
      </c>
      <c r="N359" s="2" t="s">
        <v>26</v>
      </c>
      <c r="O359" s="5">
        <v>2</v>
      </c>
      <c r="P359" s="2"/>
      <c r="Q359" s="5"/>
    </row>
    <row r="360" spans="1:17" ht="77.5">
      <c r="A360" s="5">
        <v>351</v>
      </c>
      <c r="B360" s="8" t="s">
        <v>16</v>
      </c>
      <c r="C360" s="5" t="str">
        <f>HYPERLINK("http://data.overheid.nl/data/dataset/geluidsbelasting-prov-wegen-2e-tranche-lden-eu-richtlijn-omgevingslawaai-01","Geluidsbelasting prov. wegen 2e tranche Lden EU-richtlijn Omgevingslawaai")</f>
        <v>Geluidsbelasting prov. wegen 2e tranche Lden EU-richtlijn Omgevingslawaai</v>
      </c>
      <c r="D360" s="8" t="s">
        <v>17</v>
      </c>
      <c r="E360" s="5" t="s">
        <v>46</v>
      </c>
      <c r="F360" s="2" t="s">
        <v>372</v>
      </c>
      <c r="G360" s="5" t="s">
        <v>342</v>
      </c>
      <c r="H360" s="8" t="s">
        <v>21</v>
      </c>
      <c r="I360" s="5" t="s">
        <v>22</v>
      </c>
      <c r="J360" s="4" t="s">
        <v>23</v>
      </c>
      <c r="K360" s="3" t="s">
        <v>19</v>
      </c>
      <c r="L360" s="8" t="s">
        <v>24</v>
      </c>
      <c r="M360" s="5" t="s">
        <v>25</v>
      </c>
      <c r="N360" s="2" t="s">
        <v>26</v>
      </c>
      <c r="O360" s="5">
        <v>2</v>
      </c>
      <c r="P360" s="2"/>
      <c r="Q360" s="5"/>
    </row>
    <row r="361" spans="1:17" ht="77.5">
      <c r="A361" s="5">
        <v>352</v>
      </c>
      <c r="B361" s="8" t="s">
        <v>16</v>
      </c>
      <c r="C361" s="5" t="str">
        <f>HYPERLINK("http://data.overheid.nl/data/dataset/geluidsbelasting-prov-wegen-2e-tranche-lnight-eu-richtlijn-omgevingslawaai-01","Geluidsbelasting prov. wegen 2e tranche Lnight EU-richtlijn Omgevingslawaai")</f>
        <v>Geluidsbelasting prov. wegen 2e tranche Lnight EU-richtlijn Omgevingslawaai</v>
      </c>
      <c r="D361" s="8" t="s">
        <v>17</v>
      </c>
      <c r="E361" s="5" t="s">
        <v>18</v>
      </c>
      <c r="F361" s="2" t="s">
        <v>372</v>
      </c>
      <c r="G361" s="5" t="s">
        <v>343</v>
      </c>
      <c r="H361" s="8" t="s">
        <v>21</v>
      </c>
      <c r="I361" s="5" t="s">
        <v>22</v>
      </c>
      <c r="J361" s="4" t="s">
        <v>23</v>
      </c>
      <c r="K361" s="3" t="s">
        <v>19</v>
      </c>
      <c r="L361" s="8" t="s">
        <v>24</v>
      </c>
      <c r="M361" s="5" t="s">
        <v>25</v>
      </c>
      <c r="N361" s="2" t="s">
        <v>26</v>
      </c>
      <c r="O361" s="5">
        <v>2</v>
      </c>
      <c r="P361" s="2"/>
      <c r="Q361" s="5"/>
    </row>
    <row r="362" spans="1:17" ht="62">
      <c r="A362" s="5">
        <v>353</v>
      </c>
      <c r="B362" s="8" t="s">
        <v>16</v>
      </c>
      <c r="C362" s="5" t="str">
        <f>HYPERLINK("http://data.overheid.nl/data/dataset/geluidsbelasting-prov-wegen-2e-tranche-lnight-eu-richtlijn-omgevingslawaai","Geluidsbelasting prov. wegen 2e tranche Lnight EU-richtlijn Omgevingslawaai")</f>
        <v>Geluidsbelasting prov. wegen 2e tranche Lnight EU-richtlijn Omgevingslawaai</v>
      </c>
      <c r="D362" s="8" t="s">
        <v>17</v>
      </c>
      <c r="E362" s="5" t="s">
        <v>18</v>
      </c>
      <c r="F362" s="2" t="s">
        <v>372</v>
      </c>
      <c r="G362" s="5" t="s">
        <v>344</v>
      </c>
      <c r="H362" s="8" t="s">
        <v>21</v>
      </c>
      <c r="I362" s="5" t="s">
        <v>22</v>
      </c>
      <c r="J362" s="4" t="s">
        <v>23</v>
      </c>
      <c r="K362" s="3" t="s">
        <v>19</v>
      </c>
      <c r="L362" s="8" t="s">
        <v>24</v>
      </c>
      <c r="M362" s="5" t="s">
        <v>25</v>
      </c>
      <c r="N362" s="2" t="s">
        <v>26</v>
      </c>
      <c r="O362" s="5">
        <v>2</v>
      </c>
      <c r="P362" s="2"/>
      <c r="Q362" s="5"/>
    </row>
    <row r="363" spans="1:17" ht="31">
      <c r="A363" s="5">
        <v>354</v>
      </c>
      <c r="B363" s="8" t="s">
        <v>16</v>
      </c>
      <c r="C363" s="5" t="str">
        <f>HYPERLINK("http://data.overheid.nl/data/dataset/grenzen-van-de-bebouwde-kommen-onder-de-wegenwet-artikel-27-lid-2","Grenzen van de bebouwde kommen onder de wegenwet Artikel 27, lid 2")</f>
        <v>Grenzen van de bebouwde kommen onder de wegenwet Artikel 27, lid 2</v>
      </c>
      <c r="D363" s="8" t="s">
        <v>17</v>
      </c>
      <c r="E363" s="5" t="s">
        <v>18</v>
      </c>
      <c r="F363" s="2" t="s">
        <v>372</v>
      </c>
      <c r="G363" s="5" t="s">
        <v>345</v>
      </c>
      <c r="H363" s="8" t="s">
        <v>21</v>
      </c>
      <c r="I363" s="5" t="s">
        <v>22</v>
      </c>
      <c r="J363" s="4" t="s">
        <v>23</v>
      </c>
      <c r="K363" s="3" t="s">
        <v>19</v>
      </c>
      <c r="L363" s="8" t="s">
        <v>24</v>
      </c>
      <c r="M363" s="5" t="s">
        <v>25</v>
      </c>
      <c r="N363" s="2" t="s">
        <v>26</v>
      </c>
      <c r="O363" s="5">
        <v>2</v>
      </c>
      <c r="P363" s="2"/>
      <c r="Q363" s="5"/>
    </row>
    <row r="364" spans="1:17" ht="31">
      <c r="A364" s="5">
        <v>356</v>
      </c>
      <c r="B364" s="8" t="s">
        <v>16</v>
      </c>
      <c r="C364" s="5" t="str">
        <f>HYPERLINK("http://data.overheid.nl/data/dataset/hoefdierbeleid","Hoefdierbeleid")</f>
        <v>Hoefdierbeleid</v>
      </c>
      <c r="D364" s="8" t="s">
        <v>17</v>
      </c>
      <c r="E364" s="5" t="s">
        <v>18</v>
      </c>
      <c r="F364" s="2" t="s">
        <v>372</v>
      </c>
      <c r="G364" s="5" t="s">
        <v>347</v>
      </c>
      <c r="H364" s="8" t="s">
        <v>21</v>
      </c>
      <c r="I364" s="5" t="s">
        <v>22</v>
      </c>
      <c r="J364" s="4" t="s">
        <v>23</v>
      </c>
      <c r="K364" s="3" t="s">
        <v>19</v>
      </c>
      <c r="L364" s="8" t="s">
        <v>24</v>
      </c>
      <c r="M364" s="5" t="s">
        <v>25</v>
      </c>
      <c r="N364" s="2" t="s">
        <v>26</v>
      </c>
      <c r="O364" s="5">
        <v>2</v>
      </c>
      <c r="P364" s="2"/>
      <c r="Q364" s="5"/>
    </row>
    <row r="365" spans="1:17" ht="15.5">
      <c r="A365" s="5">
        <v>358</v>
      </c>
      <c r="B365" s="8" t="s">
        <v>16</v>
      </c>
      <c r="C365" s="5" t="str">
        <f>HYPERLINK("http://data.overheid.nl/data/dataset/overzicht-nwegen","Overzicht Nwegen")</f>
        <v>Overzicht Nwegen</v>
      </c>
      <c r="D365" s="8" t="s">
        <v>17</v>
      </c>
      <c r="E365" s="5" t="s">
        <v>18</v>
      </c>
      <c r="F365" s="2" t="s">
        <v>372</v>
      </c>
      <c r="G365" s="5" t="s">
        <v>349</v>
      </c>
      <c r="H365" s="8" t="s">
        <v>21</v>
      </c>
      <c r="I365" s="5" t="s">
        <v>22</v>
      </c>
      <c r="J365" s="4" t="s">
        <v>23</v>
      </c>
      <c r="K365" s="3" t="s">
        <v>19</v>
      </c>
      <c r="L365" s="8" t="s">
        <v>24</v>
      </c>
      <c r="M365" s="5" t="s">
        <v>25</v>
      </c>
      <c r="N365" s="2" t="s">
        <v>26</v>
      </c>
      <c r="O365" s="5">
        <v>2</v>
      </c>
      <c r="P365" s="2"/>
      <c r="Q365" s="5"/>
    </row>
    <row r="366" spans="1:17" ht="15.5">
      <c r="A366" s="5">
        <v>359</v>
      </c>
      <c r="B366" s="8" t="s">
        <v>16</v>
      </c>
      <c r="C366" s="5" t="str">
        <f>HYPERLINK("http://data.overheid.nl/data/dataset/1-decimeter-interval-isohypsen-freatisch-pakket","1 decimeter interval isohypsen freatisch pakket")</f>
        <v>1 decimeter interval isohypsen freatisch pakket</v>
      </c>
      <c r="D366" s="8" t="s">
        <v>17</v>
      </c>
      <c r="E366" s="5" t="s">
        <v>18</v>
      </c>
      <c r="F366" s="2" t="s">
        <v>372</v>
      </c>
      <c r="G366" s="5" t="s">
        <v>350</v>
      </c>
      <c r="H366" s="8" t="s">
        <v>21</v>
      </c>
      <c r="I366" s="5" t="s">
        <v>22</v>
      </c>
      <c r="J366" s="4" t="s">
        <v>23</v>
      </c>
      <c r="K366" s="3" t="s">
        <v>19</v>
      </c>
      <c r="L366" s="8" t="s">
        <v>24</v>
      </c>
      <c r="M366" s="5" t="s">
        <v>25</v>
      </c>
      <c r="N366" s="2" t="s">
        <v>26</v>
      </c>
      <c r="O366" s="5">
        <v>2</v>
      </c>
      <c r="P366" s="2"/>
      <c r="Q366" s="5"/>
    </row>
    <row r="367" spans="1:17" ht="31">
      <c r="A367" s="5">
        <v>360</v>
      </c>
      <c r="B367" s="8" t="s">
        <v>16</v>
      </c>
      <c r="C367" s="5" t="str">
        <f>HYPERLINK("http://data.overheid.nl/data/dataset/isohypsen-gemiddelde-stijghoogte-watervoerend-pakket-2-in-m-t-o-v-nap","Isohypsen gemiddelde stijghoogte watervoerend pakket 2  in m t.o.v. NAP")</f>
        <v>Isohypsen gemiddelde stijghoogte watervoerend pakket 2  in m t.o.v. NAP</v>
      </c>
      <c r="D367" s="8" t="s">
        <v>17</v>
      </c>
      <c r="E367" s="5" t="s">
        <v>18</v>
      </c>
      <c r="F367" s="2" t="s">
        <v>372</v>
      </c>
      <c r="G367" s="5" t="s">
        <v>351</v>
      </c>
      <c r="H367" s="8" t="s">
        <v>21</v>
      </c>
      <c r="I367" s="5" t="s">
        <v>22</v>
      </c>
      <c r="J367" s="4" t="s">
        <v>23</v>
      </c>
      <c r="K367" s="3" t="s">
        <v>19</v>
      </c>
      <c r="L367" s="8" t="s">
        <v>24</v>
      </c>
      <c r="M367" s="5" t="s">
        <v>25</v>
      </c>
      <c r="N367" s="2" t="s">
        <v>26</v>
      </c>
      <c r="O367" s="5">
        <v>2</v>
      </c>
      <c r="P367" s="2"/>
      <c r="Q367" s="5"/>
    </row>
    <row r="368" spans="1:17" ht="31">
      <c r="A368" s="5">
        <v>361</v>
      </c>
      <c r="B368" s="8" t="s">
        <v>16</v>
      </c>
      <c r="C368" s="5" t="str">
        <f>HYPERLINK("http://data.overheid.nl/data/dataset/isohypsen-gemiddelde-stijghoogte-watervoerend-pakket-1-in-m-t-o-v-nap-01","Isohypsen gemiddelde stijghoogte watervoerend pakket 1 in m t.o.v. NAP")</f>
        <v>Isohypsen gemiddelde stijghoogte watervoerend pakket 1 in m t.o.v. NAP</v>
      </c>
      <c r="D368" s="8" t="s">
        <v>17</v>
      </c>
      <c r="E368" s="5" t="s">
        <v>18</v>
      </c>
      <c r="F368" s="2" t="s">
        <v>372</v>
      </c>
      <c r="G368" s="5" t="s">
        <v>352</v>
      </c>
      <c r="H368" s="8" t="s">
        <v>21</v>
      </c>
      <c r="I368" s="5" t="s">
        <v>22</v>
      </c>
      <c r="J368" s="4" t="s">
        <v>23</v>
      </c>
      <c r="K368" s="3" t="s">
        <v>19</v>
      </c>
      <c r="L368" s="8" t="s">
        <v>24</v>
      </c>
      <c r="M368" s="5" t="s">
        <v>25</v>
      </c>
      <c r="N368" s="2" t="s">
        <v>26</v>
      </c>
      <c r="O368" s="5">
        <v>2</v>
      </c>
      <c r="P368" s="2"/>
      <c r="Q368" s="5"/>
    </row>
    <row r="369" spans="1:17" ht="31">
      <c r="A369" s="5">
        <v>362</v>
      </c>
      <c r="B369" s="8" t="s">
        <v>16</v>
      </c>
      <c r="C369" s="5" t="str">
        <f>HYPERLINK("http://data.overheid.nl/data/dataset/isohypsen-gemiddelde-stijghoogte-watervoerend-pakket-1-in-m-t-o-v-nap","Isohypsen gemiddelde stijghoogte watervoerend pakket 1 in m t.o.v. NAP")</f>
        <v>Isohypsen gemiddelde stijghoogte watervoerend pakket 1 in m t.o.v. NAP</v>
      </c>
      <c r="D369" s="8" t="s">
        <v>17</v>
      </c>
      <c r="E369" s="5" t="s">
        <v>18</v>
      </c>
      <c r="F369" s="2" t="s">
        <v>372</v>
      </c>
      <c r="G369" s="5" t="s">
        <v>353</v>
      </c>
      <c r="H369" s="8" t="s">
        <v>21</v>
      </c>
      <c r="I369" s="5" t="s">
        <v>22</v>
      </c>
      <c r="J369" s="4" t="s">
        <v>23</v>
      </c>
      <c r="K369" s="3" t="s">
        <v>19</v>
      </c>
      <c r="L369" s="8" t="s">
        <v>24</v>
      </c>
      <c r="M369" s="5" t="s">
        <v>25</v>
      </c>
      <c r="N369" s="2" t="s">
        <v>26</v>
      </c>
      <c r="O369" s="5">
        <v>2</v>
      </c>
      <c r="P369" s="2"/>
      <c r="Q369" s="5"/>
    </row>
    <row r="370" spans="1:17" ht="31">
      <c r="A370" s="5">
        <v>363</v>
      </c>
      <c r="B370" s="8" t="s">
        <v>16</v>
      </c>
      <c r="C370" s="5" t="str">
        <f>HYPERLINK("http://data.overheid.nl/data/dataset/isohypsen-gemiddelde-stijghoogte-watervoerend-pakket-1b-in-m-t-o-v-nap","Isohypsen gemiddelde stijghoogte watervoerend pakket 1B in m t.o.v. NAP")</f>
        <v>Isohypsen gemiddelde stijghoogte watervoerend pakket 1B in m t.o.v. NAP</v>
      </c>
      <c r="D370" s="8" t="s">
        <v>17</v>
      </c>
      <c r="E370" s="5" t="s">
        <v>18</v>
      </c>
      <c r="F370" s="2" t="s">
        <v>372</v>
      </c>
      <c r="G370" s="5" t="s">
        <v>354</v>
      </c>
      <c r="H370" s="8" t="s">
        <v>21</v>
      </c>
      <c r="I370" s="5" t="s">
        <v>22</v>
      </c>
      <c r="J370" s="4" t="s">
        <v>23</v>
      </c>
      <c r="K370" s="3" t="s">
        <v>19</v>
      </c>
      <c r="L370" s="8" t="s">
        <v>24</v>
      </c>
      <c r="M370" s="5" t="s">
        <v>25</v>
      </c>
      <c r="N370" s="2" t="s">
        <v>26</v>
      </c>
      <c r="O370" s="5">
        <v>2</v>
      </c>
      <c r="P370" s="2"/>
      <c r="Q370" s="5"/>
    </row>
    <row r="371" spans="1:17" ht="31">
      <c r="A371" s="5">
        <v>364</v>
      </c>
      <c r="B371" s="8" t="s">
        <v>16</v>
      </c>
      <c r="C371" s="5" t="str">
        <f>HYPERLINK("http://data.overheid.nl/data/dataset/isohypsen-gemiddelde-stijghoogte-freatisch-pakket-in-m-t-o-v-nap","Isohypsen gemiddelde stijghoogte freatisch pakket in m t.o.v. NAP")</f>
        <v>Isohypsen gemiddelde stijghoogte freatisch pakket in m t.o.v. NAP</v>
      </c>
      <c r="D371" s="8" t="s">
        <v>17</v>
      </c>
      <c r="E371" s="5" t="s">
        <v>18</v>
      </c>
      <c r="F371" s="2" t="s">
        <v>372</v>
      </c>
      <c r="G371" s="5" t="s">
        <v>355</v>
      </c>
      <c r="H371" s="8" t="s">
        <v>21</v>
      </c>
      <c r="I371" s="5" t="s">
        <v>22</v>
      </c>
      <c r="J371" s="4" t="s">
        <v>23</v>
      </c>
      <c r="K371" s="3" t="s">
        <v>19</v>
      </c>
      <c r="L371" s="8" t="s">
        <v>24</v>
      </c>
      <c r="M371" s="5" t="s">
        <v>25</v>
      </c>
      <c r="N371" s="2" t="s">
        <v>26</v>
      </c>
      <c r="O371" s="5">
        <v>2</v>
      </c>
      <c r="P371" s="2"/>
      <c r="Q371" s="5"/>
    </row>
    <row r="372" spans="1:17" ht="31">
      <c r="A372" s="5">
        <v>365</v>
      </c>
      <c r="B372" s="8" t="s">
        <v>16</v>
      </c>
      <c r="C372" s="5" t="str">
        <f>HYPERLINK("http://data.overheid.nl/data/dataset/situering-natuurgebieden-die-zeer-kwetsbaar-zijn-voor-veranderingen-in-het-grondwater","Situering natuurgebieden die zeer kwetsbaar zijn voor veranderingen in het grondwater")</f>
        <v>Situering natuurgebieden die zeer kwetsbaar zijn voor veranderingen in het grondwater</v>
      </c>
      <c r="D372" s="8" t="s">
        <v>17</v>
      </c>
      <c r="E372" s="5" t="s">
        <v>18</v>
      </c>
      <c r="F372" s="2" t="s">
        <v>372</v>
      </c>
      <c r="G372" s="5" t="s">
        <v>356</v>
      </c>
      <c r="H372" s="8" t="s">
        <v>21</v>
      </c>
      <c r="I372" s="5" t="s">
        <v>22</v>
      </c>
      <c r="J372" s="4" t="s">
        <v>23</v>
      </c>
      <c r="K372" s="3" t="s">
        <v>19</v>
      </c>
      <c r="L372" s="8" t="s">
        <v>24</v>
      </c>
      <c r="M372" s="5" t="s">
        <v>25</v>
      </c>
      <c r="N372" s="2" t="s">
        <v>26</v>
      </c>
      <c r="O372" s="5">
        <v>2</v>
      </c>
      <c r="P372" s="2"/>
      <c r="Q372" s="5"/>
    </row>
    <row r="373" spans="1:17" ht="31">
      <c r="A373" s="5">
        <v>366</v>
      </c>
      <c r="B373" s="8" t="s">
        <v>16</v>
      </c>
      <c r="C373" s="5" t="str">
        <f>HYPERLINK("http://data.overheid.nl/data/dataset/soortenrijkdom-grondwaterafhankelijke-waterplanten-per-kilometerhok","Soortenrijkdom grondwaterafhankelijke waterplanten per kilometerhok")</f>
        <v>Soortenrijkdom grondwaterafhankelijke waterplanten per kilometerhok</v>
      </c>
      <c r="D373" s="8" t="s">
        <v>17</v>
      </c>
      <c r="E373" s="5" t="s">
        <v>18</v>
      </c>
      <c r="F373" s="2" t="s">
        <v>372</v>
      </c>
      <c r="G373" s="5" t="s">
        <v>357</v>
      </c>
      <c r="H373" s="8" t="s">
        <v>21</v>
      </c>
      <c r="I373" s="5" t="s">
        <v>22</v>
      </c>
      <c r="J373" s="4" t="s">
        <v>23</v>
      </c>
      <c r="K373" s="3" t="s">
        <v>19</v>
      </c>
      <c r="L373" s="8" t="s">
        <v>24</v>
      </c>
      <c r="M373" s="5" t="s">
        <v>25</v>
      </c>
      <c r="N373" s="2" t="s">
        <v>26</v>
      </c>
      <c r="O373" s="5">
        <v>2</v>
      </c>
      <c r="P373" s="2"/>
      <c r="Q373" s="5"/>
    </row>
    <row r="374" spans="1:17" ht="15.5">
      <c r="A374" s="5">
        <v>367</v>
      </c>
      <c r="B374" s="8" t="s">
        <v>16</v>
      </c>
      <c r="C374" s="5" t="str">
        <f>HYPERLINK("http://data.overheid.nl/data/dataset/1-meter-interval-isohypsen-eerste-watervoerend-pakket","1 meter interval isohypsen eerste watervoerend pakket")</f>
        <v>1 meter interval isohypsen eerste watervoerend pakket</v>
      </c>
      <c r="D374" s="8" t="s">
        <v>17</v>
      </c>
      <c r="E374" s="5" t="s">
        <v>18</v>
      </c>
      <c r="F374" s="2" t="s">
        <v>372</v>
      </c>
      <c r="G374" s="5" t="s">
        <v>358</v>
      </c>
      <c r="H374" s="8" t="s">
        <v>21</v>
      </c>
      <c r="I374" s="5" t="s">
        <v>22</v>
      </c>
      <c r="J374" s="4" t="s">
        <v>23</v>
      </c>
      <c r="K374" s="3" t="s">
        <v>19</v>
      </c>
      <c r="L374" s="8" t="s">
        <v>24</v>
      </c>
      <c r="M374" s="5" t="s">
        <v>25</v>
      </c>
      <c r="N374" s="2" t="s">
        <v>26</v>
      </c>
      <c r="O374" s="5">
        <v>2</v>
      </c>
      <c r="P374" s="2"/>
      <c r="Q374" s="5"/>
    </row>
    <row r="375" spans="1:17" ht="31">
      <c r="A375" s="5">
        <v>368</v>
      </c>
      <c r="B375" s="8" t="s">
        <v>16</v>
      </c>
      <c r="C375" s="5" t="str">
        <f>HYPERLINK("http://data.overheid.nl/data/dataset/soortenrijkdom-voedselrijke-schoonwaterplanten-per-kilometerhok","Soortenrijkdom voedselrijke schoonwaterplanten per kilometerhok")</f>
        <v>Soortenrijkdom voedselrijke schoonwaterplanten per kilometerhok</v>
      </c>
      <c r="D375" s="8" t="s">
        <v>17</v>
      </c>
      <c r="E375" s="5" t="s">
        <v>18</v>
      </c>
      <c r="F375" s="2" t="s">
        <v>372</v>
      </c>
      <c r="G375" s="5" t="s">
        <v>359</v>
      </c>
      <c r="H375" s="8" t="s">
        <v>21</v>
      </c>
      <c r="I375" s="5" t="s">
        <v>22</v>
      </c>
      <c r="J375" s="4" t="s">
        <v>23</v>
      </c>
      <c r="K375" s="3" t="s">
        <v>19</v>
      </c>
      <c r="L375" s="8" t="s">
        <v>24</v>
      </c>
      <c r="M375" s="5" t="s">
        <v>25</v>
      </c>
      <c r="N375" s="2" t="s">
        <v>26</v>
      </c>
      <c r="O375" s="5">
        <v>2</v>
      </c>
      <c r="P375" s="2"/>
      <c r="Q375" s="5"/>
    </row>
    <row r="376" spans="1:17" ht="31">
      <c r="A376" s="5">
        <v>369</v>
      </c>
      <c r="B376" s="8" t="s">
        <v>16</v>
      </c>
      <c r="C376" s="5" t="str">
        <f>HYPERLINK("http://data.overheid.nl/data/dataset/soortenrijkdom-grondwaterafhankelijke-moerasplanten-per-kilometerhok","Soortenrijkdom grondwaterafhankelijke moerasplanten per kilometerhok")</f>
        <v>Soortenrijkdom grondwaterafhankelijke moerasplanten per kilometerhok</v>
      </c>
      <c r="D376" s="8" t="s">
        <v>17</v>
      </c>
      <c r="E376" s="5" t="s">
        <v>18</v>
      </c>
      <c r="F376" s="2" t="s">
        <v>372</v>
      </c>
      <c r="G376" s="5" t="s">
        <v>360</v>
      </c>
      <c r="H376" s="8" t="s">
        <v>21</v>
      </c>
      <c r="I376" s="5" t="s">
        <v>22</v>
      </c>
      <c r="J376" s="4" t="s">
        <v>23</v>
      </c>
      <c r="K376" s="3" t="s">
        <v>19</v>
      </c>
      <c r="L376" s="8" t="s">
        <v>24</v>
      </c>
      <c r="M376" s="5" t="s">
        <v>25</v>
      </c>
      <c r="N376" s="2" t="s">
        <v>26</v>
      </c>
      <c r="O376" s="5">
        <v>2</v>
      </c>
      <c r="P376" s="2"/>
      <c r="Q376" s="5"/>
    </row>
    <row r="377" spans="1:17" ht="15.5">
      <c r="A377" s="5">
        <v>370</v>
      </c>
      <c r="B377" s="8" t="s">
        <v>16</v>
      </c>
      <c r="C377" s="5" t="str">
        <f>HYPERLINK("http://data.overheid.nl/data/dataset/soortenrijkdom-voedselarme-moerasplanten-per-kilometerhok","Soortenrijkdom: voedselarme moerasplanten per kilometerhok")</f>
        <v>Soortenrijkdom: voedselarme moerasplanten per kilometerhok</v>
      </c>
      <c r="D377" s="8" t="s">
        <v>17</v>
      </c>
      <c r="E377" s="5" t="s">
        <v>18</v>
      </c>
      <c r="F377" s="2" t="s">
        <v>372</v>
      </c>
      <c r="G377" s="5" t="s">
        <v>361</v>
      </c>
      <c r="H377" s="8" t="s">
        <v>21</v>
      </c>
      <c r="I377" s="5" t="s">
        <v>22</v>
      </c>
      <c r="J377" s="4" t="s">
        <v>23</v>
      </c>
      <c r="K377" s="3" t="s">
        <v>19</v>
      </c>
      <c r="L377" s="8" t="s">
        <v>24</v>
      </c>
      <c r="M377" s="5" t="s">
        <v>25</v>
      </c>
      <c r="N377" s="2" t="s">
        <v>26</v>
      </c>
      <c r="O377" s="5">
        <v>2</v>
      </c>
      <c r="P377" s="2"/>
      <c r="Q377" s="5"/>
    </row>
    <row r="378" spans="1:17" ht="31">
      <c r="A378" s="5">
        <v>371</v>
      </c>
      <c r="B378" s="8" t="s">
        <v>16</v>
      </c>
      <c r="C378" s="5" t="str">
        <f>HYPERLINK("http://data.overheid.nl/data/dataset/soortenrijkdom-voedselarme-schoonwaterplanten-per-kilometerhok","Soortenrijkdom voedselarme schoonwaterplanten per kilometerhok")</f>
        <v>Soortenrijkdom voedselarme schoonwaterplanten per kilometerhok</v>
      </c>
      <c r="D378" s="8" t="s">
        <v>17</v>
      </c>
      <c r="E378" s="5" t="s">
        <v>18</v>
      </c>
      <c r="F378" s="2" t="s">
        <v>372</v>
      </c>
      <c r="G378" s="5" t="s">
        <v>362</v>
      </c>
      <c r="H378" s="8" t="s">
        <v>21</v>
      </c>
      <c r="I378" s="5" t="s">
        <v>22</v>
      </c>
      <c r="J378" s="4" t="s">
        <v>23</v>
      </c>
      <c r="K378" s="3" t="s">
        <v>19</v>
      </c>
      <c r="L378" s="8" t="s">
        <v>24</v>
      </c>
      <c r="M378" s="5" t="s">
        <v>25</v>
      </c>
      <c r="N378" s="2" t="s">
        <v>26</v>
      </c>
      <c r="O378" s="5">
        <v>2</v>
      </c>
      <c r="P378" s="2"/>
      <c r="Q378" s="5"/>
    </row>
    <row r="379" spans="1:17" ht="77.5">
      <c r="A379" s="5">
        <v>372</v>
      </c>
      <c r="B379" s="8" t="s">
        <v>16</v>
      </c>
      <c r="C379" s="5" t="str">
        <f>HYPERLINK("http://data.overheid.nl/data/dataset/geluidsbelasting-provinciale-wegen-2e-tranche-lnight-eu-richtlijn-omgevingslawaai-provincie-utrecht","Geluidsbelasting provinciale wegen 2e tranche Lnight EU-richtlijn Omgevingslawaai Provincie Utrecht")</f>
        <v>Geluidsbelasting provinciale wegen 2e tranche Lnight EU-richtlijn Omgevingslawaai Provincie Utrecht</v>
      </c>
      <c r="D379" s="8" t="s">
        <v>17</v>
      </c>
      <c r="E379" s="5" t="s">
        <v>18</v>
      </c>
      <c r="F379" s="2" t="s">
        <v>372</v>
      </c>
      <c r="G379" s="5" t="s">
        <v>363</v>
      </c>
      <c r="H379" s="8" t="s">
        <v>21</v>
      </c>
      <c r="I379" s="5" t="s">
        <v>22</v>
      </c>
      <c r="J379" s="4" t="s">
        <v>23</v>
      </c>
      <c r="K379" s="3" t="s">
        <v>19</v>
      </c>
      <c r="L379" s="8" t="s">
        <v>24</v>
      </c>
      <c r="M379" s="5" t="s">
        <v>25</v>
      </c>
      <c r="N379" s="2" t="s">
        <v>26</v>
      </c>
      <c r="O379" s="5">
        <v>2</v>
      </c>
      <c r="P379" s="2"/>
      <c r="Q379" s="5"/>
    </row>
    <row r="380" spans="1:17" ht="77.5">
      <c r="A380" s="5">
        <v>373</v>
      </c>
      <c r="B380" s="8" t="s">
        <v>16</v>
      </c>
      <c r="C380" s="5" t="str">
        <f>HYPERLINK("http://data.overheid.nl/data/dataset/geluidsbelasting-provinciale-wegen-2e-tranche-lden-eu-richtlijn-omgevingslawaai","Geluidsbelasting provinciale wegen 2e tranche Lden EU-richtlijn Omgevingslawaai")</f>
        <v>Geluidsbelasting provinciale wegen 2e tranche Lden EU-richtlijn Omgevingslawaai</v>
      </c>
      <c r="D380" s="8" t="s">
        <v>17</v>
      </c>
      <c r="E380" s="5" t="s">
        <v>46</v>
      </c>
      <c r="F380" s="2" t="s">
        <v>372</v>
      </c>
      <c r="G380" s="5" t="s">
        <v>364</v>
      </c>
      <c r="H380" s="8" t="s">
        <v>21</v>
      </c>
      <c r="I380" s="5" t="s">
        <v>22</v>
      </c>
      <c r="J380" s="4" t="s">
        <v>23</v>
      </c>
      <c r="K380" s="3" t="s">
        <v>19</v>
      </c>
      <c r="L380" s="8" t="s">
        <v>24</v>
      </c>
      <c r="M380" s="5" t="s">
        <v>25</v>
      </c>
      <c r="N380" s="2" t="s">
        <v>26</v>
      </c>
      <c r="O380" s="5">
        <v>2</v>
      </c>
      <c r="P380" s="2"/>
      <c r="Q380" s="5"/>
    </row>
    <row r="381" spans="1:17" ht="77.5">
      <c r="A381" s="5">
        <v>374</v>
      </c>
      <c r="B381" s="8" t="s">
        <v>16</v>
      </c>
      <c r="C381" s="5" t="str">
        <f>HYPERLINK("http://data.overheid.nl/data/dataset/geluidsbelasting-provinciale-wegen-1e-tranche-lden-eu-richtlijn-omgevingslawaai","Geluidsbelasting provinciale wegen 1e tranche Lden EU-richtlijn Omgevingslawaai")</f>
        <v>Geluidsbelasting provinciale wegen 1e tranche Lden EU-richtlijn Omgevingslawaai</v>
      </c>
      <c r="D381" s="8" t="s">
        <v>17</v>
      </c>
      <c r="E381" s="5" t="s">
        <v>18</v>
      </c>
      <c r="F381" s="2" t="s">
        <v>372</v>
      </c>
      <c r="G381" s="5" t="s">
        <v>365</v>
      </c>
      <c r="H381" s="8" t="s">
        <v>21</v>
      </c>
      <c r="I381" s="5" t="s">
        <v>22</v>
      </c>
      <c r="J381" s="4" t="s">
        <v>23</v>
      </c>
      <c r="K381" s="3" t="s">
        <v>19</v>
      </c>
      <c r="L381" s="8" t="s">
        <v>24</v>
      </c>
      <c r="M381" s="5" t="s">
        <v>25</v>
      </c>
      <c r="N381" s="2" t="s">
        <v>26</v>
      </c>
      <c r="O381" s="5">
        <v>2</v>
      </c>
      <c r="P381" s="2"/>
      <c r="Q381" s="5"/>
    </row>
    <row r="382" spans="1:17" ht="77.5">
      <c r="A382" s="5">
        <v>375</v>
      </c>
      <c r="B382" s="8" t="s">
        <v>16</v>
      </c>
      <c r="C382" s="5" t="str">
        <f>HYPERLINK("http://data.overheid.nl/data/dataset/geluidsbelasting-provinciale-wegen-1e-tranche-lnight-eu-richtlijn-omgevingslawaai","Geluidsbelasting provinciale wegen 1e tranche Lnight EU-richtlijn Omgevingslawaai")</f>
        <v>Geluidsbelasting provinciale wegen 1e tranche Lnight EU-richtlijn Omgevingslawaai</v>
      </c>
      <c r="D382" s="8" t="s">
        <v>17</v>
      </c>
      <c r="E382" s="5" t="s">
        <v>18</v>
      </c>
      <c r="F382" s="2" t="s">
        <v>372</v>
      </c>
      <c r="G382" s="5" t="s">
        <v>366</v>
      </c>
      <c r="H382" s="8" t="s">
        <v>21</v>
      </c>
      <c r="I382" s="5" t="s">
        <v>22</v>
      </c>
      <c r="J382" s="4" t="s">
        <v>23</v>
      </c>
      <c r="K382" s="3" t="s">
        <v>19</v>
      </c>
      <c r="L382" s="8" t="s">
        <v>24</v>
      </c>
      <c r="M382" s="5" t="s">
        <v>25</v>
      </c>
      <c r="N382" s="2" t="s">
        <v>26</v>
      </c>
      <c r="O382" s="5">
        <v>2</v>
      </c>
      <c r="P382" s="2"/>
      <c r="Q382" s="5"/>
    </row>
  </sheetData>
  <autoFilter ref="A5:Q382">
    <sortState ref="A6:Q382">
      <sortCondition sortBy="cellColor" ref="J5:J382" dxfId="0"/>
    </sortState>
  </autoFilter>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2017-01-23T14:43:01Z</dcterms:created>
  <dcterms:modified xsi:type="dcterms:W3CDTF">2017-06-12T08:16:34Z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633766790</vt:i4>
  </property>
  <property fmtid="{D5CDD505-2E9C-101B-9397-08002B2CF9AE}" pid="3" name="_NewReviewCycle">
    <vt:lpwstr/>
  </property>
  <property fmtid="{D5CDD505-2E9C-101B-9397-08002B2CF9AE}" pid="4" name="_EmailSubject">
    <vt:lpwstr>Inventarisatie 2017</vt:lpwstr>
  </property>
  <property fmtid="{D5CDD505-2E9C-101B-9397-08002B2CF9AE}" pid="5" name="_AuthorEmail">
    <vt:lpwstr>Olaf.van.der.Sluis@provincie-utrecht.nl</vt:lpwstr>
  </property>
  <property fmtid="{D5CDD505-2E9C-101B-9397-08002B2CF9AE}" pid="6" name="_AuthorEmailDisplayName">
    <vt:lpwstr>Sluis, Olaf van der</vt:lpwstr>
  </property>
  <property fmtid="{D5CDD505-2E9C-101B-9397-08002B2CF9AE}" pid="7" name="_ReviewingToolsShownOnce">
    <vt:lpwstr/>
  </property>
</Properties>
</file>