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Infrastructuur &amp; Milieu\"/>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395" i="1"/>
  <c r="C396" i="1"/>
  <c r="C397" i="1"/>
  <c r="C398" i="1"/>
  <c r="C399" i="1"/>
  <c r="C400" i="1"/>
  <c r="C401" i="1"/>
  <c r="C402" i="1"/>
  <c r="C403" i="1"/>
  <c r="C404" i="1"/>
  <c r="C405" i="1"/>
  <c r="C406" i="1"/>
  <c r="C407" i="1"/>
  <c r="C408" i="1"/>
  <c r="C409" i="1"/>
  <c r="C410" i="1"/>
  <c r="C411" i="1"/>
  <c r="C412" i="1"/>
  <c r="C413" i="1"/>
  <c r="C414" i="1"/>
  <c r="C415" i="1"/>
  <c r="C416" i="1"/>
  <c r="C417" i="1"/>
  <c r="C418" i="1"/>
  <c r="C419" i="1"/>
  <c r="C420" i="1"/>
  <c r="C421" i="1"/>
  <c r="C422" i="1"/>
  <c r="C423" i="1"/>
  <c r="C424" i="1"/>
  <c r="C425" i="1"/>
  <c r="C426" i="1"/>
  <c r="C427" i="1"/>
  <c r="C428" i="1"/>
  <c r="C429" i="1"/>
  <c r="C430" i="1"/>
  <c r="C431" i="1"/>
  <c r="C432" i="1"/>
  <c r="C433" i="1"/>
  <c r="C434" i="1"/>
  <c r="C435" i="1"/>
  <c r="C436" i="1"/>
  <c r="C437" i="1"/>
  <c r="C438" i="1"/>
  <c r="C439" i="1"/>
  <c r="C440" i="1"/>
  <c r="C441" i="1"/>
  <c r="C442" i="1"/>
  <c r="C443" i="1"/>
  <c r="C444" i="1"/>
  <c r="C445" i="1"/>
  <c r="C446" i="1"/>
  <c r="C447" i="1"/>
  <c r="C448" i="1"/>
  <c r="C449" i="1"/>
  <c r="C450" i="1"/>
  <c r="C451" i="1"/>
  <c r="C452" i="1"/>
  <c r="C453" i="1"/>
  <c r="C454" i="1"/>
  <c r="C455" i="1"/>
  <c r="C456" i="1"/>
  <c r="C457" i="1"/>
  <c r="C458" i="1"/>
  <c r="C459" i="1"/>
  <c r="C460" i="1"/>
  <c r="C461" i="1"/>
  <c r="C462" i="1"/>
  <c r="C463" i="1"/>
  <c r="C464" i="1"/>
  <c r="C465" i="1"/>
  <c r="C466" i="1"/>
  <c r="C467" i="1"/>
  <c r="C468" i="1"/>
  <c r="C469" i="1"/>
  <c r="C470" i="1"/>
  <c r="C471" i="1"/>
  <c r="C472" i="1"/>
  <c r="C473" i="1"/>
  <c r="C474" i="1"/>
  <c r="C475" i="1"/>
  <c r="C476" i="1"/>
  <c r="C477" i="1"/>
  <c r="C478" i="1"/>
  <c r="C479" i="1"/>
  <c r="C480" i="1"/>
  <c r="C481" i="1"/>
  <c r="C482" i="1"/>
  <c r="C483" i="1"/>
  <c r="C484" i="1"/>
  <c r="C485" i="1"/>
  <c r="C486" i="1"/>
  <c r="C487" i="1"/>
  <c r="C488" i="1"/>
  <c r="C489" i="1"/>
  <c r="C490" i="1"/>
  <c r="C491" i="1"/>
  <c r="C492" i="1"/>
  <c r="C493" i="1"/>
  <c r="C494" i="1"/>
  <c r="C495" i="1"/>
  <c r="C496" i="1"/>
  <c r="C497" i="1"/>
  <c r="C498" i="1"/>
  <c r="C499" i="1"/>
  <c r="C500" i="1"/>
  <c r="C501" i="1"/>
  <c r="C502" i="1"/>
  <c r="C503" i="1"/>
  <c r="C504" i="1"/>
  <c r="C505" i="1"/>
  <c r="C506" i="1"/>
  <c r="C507" i="1"/>
  <c r="C508" i="1"/>
  <c r="C509" i="1"/>
  <c r="C510" i="1"/>
  <c r="C511" i="1"/>
  <c r="C512" i="1"/>
  <c r="C513" i="1"/>
  <c r="C514" i="1"/>
  <c r="C515" i="1"/>
  <c r="C516" i="1"/>
  <c r="C517" i="1"/>
  <c r="C518" i="1"/>
  <c r="C519" i="1"/>
  <c r="C520" i="1"/>
  <c r="C521" i="1"/>
  <c r="C522" i="1"/>
  <c r="C523" i="1"/>
  <c r="C524" i="1"/>
  <c r="C525" i="1"/>
  <c r="C526" i="1"/>
  <c r="C527" i="1"/>
  <c r="C528" i="1"/>
  <c r="C529" i="1"/>
  <c r="C530" i="1"/>
  <c r="C531" i="1"/>
  <c r="C532" i="1"/>
  <c r="C533" i="1"/>
  <c r="C534" i="1"/>
  <c r="C535" i="1"/>
  <c r="C536" i="1"/>
  <c r="C537" i="1"/>
  <c r="C538" i="1"/>
  <c r="C539" i="1"/>
  <c r="C540" i="1"/>
  <c r="C541" i="1"/>
  <c r="C542" i="1"/>
  <c r="C543" i="1"/>
  <c r="C544" i="1"/>
  <c r="C545" i="1"/>
  <c r="C546" i="1"/>
  <c r="C547" i="1"/>
  <c r="C548" i="1"/>
  <c r="C549" i="1"/>
  <c r="C550" i="1"/>
  <c r="C551" i="1"/>
  <c r="C552" i="1"/>
  <c r="C553" i="1"/>
  <c r="C554" i="1"/>
  <c r="C555" i="1"/>
  <c r="C556" i="1"/>
  <c r="C557" i="1"/>
  <c r="C558" i="1"/>
  <c r="C559" i="1"/>
  <c r="C560" i="1"/>
  <c r="C561" i="1"/>
  <c r="C562" i="1"/>
  <c r="C563" i="1"/>
  <c r="C564" i="1"/>
  <c r="C565" i="1"/>
  <c r="C566" i="1"/>
  <c r="C567" i="1"/>
  <c r="C568" i="1"/>
  <c r="C569" i="1"/>
  <c r="C570" i="1"/>
  <c r="C571" i="1"/>
  <c r="C572" i="1"/>
  <c r="C573" i="1"/>
  <c r="C574" i="1"/>
  <c r="C575" i="1"/>
  <c r="C576" i="1"/>
  <c r="C577" i="1"/>
  <c r="C578" i="1"/>
  <c r="C579" i="1"/>
  <c r="C580" i="1"/>
  <c r="C581" i="1"/>
  <c r="C582" i="1"/>
  <c r="C583" i="1"/>
  <c r="C584" i="1"/>
  <c r="C585" i="1"/>
  <c r="C586" i="1"/>
  <c r="C587" i="1"/>
  <c r="C588" i="1"/>
  <c r="C589" i="1"/>
  <c r="C590" i="1"/>
  <c r="C591" i="1"/>
  <c r="C592" i="1"/>
  <c r="C593" i="1"/>
  <c r="C594" i="1"/>
  <c r="C595" i="1"/>
  <c r="C596" i="1"/>
  <c r="C597" i="1"/>
  <c r="C598" i="1"/>
  <c r="C599" i="1"/>
  <c r="C600" i="1"/>
  <c r="C601" i="1"/>
  <c r="C602" i="1"/>
  <c r="C603" i="1"/>
  <c r="C604" i="1"/>
  <c r="C605" i="1"/>
  <c r="C606" i="1"/>
  <c r="C607" i="1"/>
  <c r="C608" i="1"/>
  <c r="C609" i="1"/>
  <c r="C610" i="1"/>
  <c r="C611" i="1"/>
  <c r="C612" i="1"/>
  <c r="C613" i="1"/>
  <c r="C614" i="1"/>
  <c r="C615" i="1"/>
  <c r="C616" i="1"/>
  <c r="C617" i="1"/>
  <c r="C618" i="1"/>
  <c r="C619" i="1"/>
  <c r="C620" i="1"/>
  <c r="C621" i="1"/>
  <c r="C622" i="1"/>
  <c r="C623" i="1"/>
  <c r="C624" i="1"/>
  <c r="C625" i="1"/>
  <c r="C626" i="1"/>
  <c r="C627" i="1"/>
  <c r="C628" i="1"/>
  <c r="C629" i="1"/>
  <c r="C630" i="1"/>
  <c r="C631" i="1"/>
  <c r="C632" i="1"/>
  <c r="C633" i="1"/>
  <c r="C634" i="1"/>
  <c r="C635" i="1"/>
  <c r="C636" i="1"/>
  <c r="C637" i="1"/>
  <c r="C638" i="1"/>
  <c r="C639" i="1"/>
  <c r="C640" i="1"/>
  <c r="C641" i="1"/>
  <c r="C642" i="1"/>
  <c r="C643" i="1"/>
  <c r="C644" i="1"/>
  <c r="C645" i="1"/>
  <c r="C646" i="1"/>
  <c r="C647" i="1"/>
  <c r="C648" i="1"/>
  <c r="C649" i="1"/>
  <c r="C650" i="1"/>
  <c r="C651" i="1"/>
  <c r="C652" i="1"/>
  <c r="C653" i="1"/>
  <c r="C654" i="1"/>
  <c r="C655" i="1"/>
  <c r="C656" i="1"/>
  <c r="C657" i="1"/>
  <c r="C658" i="1"/>
  <c r="C659" i="1"/>
  <c r="C660" i="1"/>
  <c r="C661" i="1"/>
  <c r="C662" i="1"/>
  <c r="C663" i="1"/>
  <c r="C664" i="1"/>
  <c r="C665" i="1"/>
  <c r="C666" i="1"/>
  <c r="C667" i="1"/>
  <c r="C668" i="1"/>
  <c r="C669" i="1"/>
  <c r="C670" i="1"/>
  <c r="C671" i="1"/>
  <c r="C672" i="1"/>
  <c r="C673" i="1"/>
  <c r="C674" i="1"/>
  <c r="C675" i="1"/>
  <c r="C676" i="1"/>
  <c r="C677" i="1"/>
  <c r="C678" i="1"/>
  <c r="C679" i="1"/>
  <c r="C680" i="1"/>
  <c r="C681" i="1"/>
  <c r="C682" i="1"/>
  <c r="C683" i="1"/>
  <c r="C684" i="1"/>
  <c r="C685" i="1"/>
  <c r="C686" i="1"/>
  <c r="C687" i="1"/>
  <c r="C688" i="1"/>
  <c r="C689" i="1"/>
  <c r="C690" i="1"/>
  <c r="C691" i="1"/>
  <c r="C692" i="1"/>
  <c r="C693" i="1"/>
  <c r="C694" i="1"/>
  <c r="C695" i="1"/>
  <c r="C696" i="1"/>
  <c r="C697" i="1"/>
  <c r="C698" i="1"/>
  <c r="C699" i="1"/>
  <c r="C700" i="1"/>
  <c r="C701" i="1"/>
  <c r="C702" i="1"/>
  <c r="C703" i="1"/>
  <c r="C704" i="1"/>
  <c r="C705" i="1"/>
  <c r="C706" i="1"/>
  <c r="C707" i="1"/>
  <c r="C708" i="1"/>
  <c r="C709" i="1"/>
  <c r="C710" i="1"/>
  <c r="C711" i="1"/>
  <c r="C712" i="1"/>
  <c r="C713" i="1"/>
  <c r="C714" i="1"/>
  <c r="C715" i="1"/>
  <c r="C716" i="1"/>
  <c r="C717" i="1"/>
  <c r="C718" i="1"/>
  <c r="C719" i="1"/>
  <c r="C720" i="1"/>
  <c r="C721" i="1"/>
  <c r="C722" i="1"/>
  <c r="C723" i="1"/>
  <c r="C724" i="1"/>
  <c r="C725" i="1"/>
  <c r="C726" i="1"/>
  <c r="C727" i="1"/>
  <c r="C728" i="1"/>
  <c r="C729" i="1"/>
  <c r="C730" i="1"/>
  <c r="C731" i="1"/>
  <c r="C732" i="1"/>
  <c r="C733" i="1"/>
  <c r="C734" i="1"/>
  <c r="C735" i="1"/>
  <c r="C736" i="1"/>
  <c r="C737" i="1"/>
  <c r="C738" i="1"/>
  <c r="C739" i="1"/>
  <c r="C740" i="1"/>
  <c r="C741" i="1"/>
  <c r="C742" i="1"/>
  <c r="C743" i="1"/>
  <c r="C744" i="1"/>
  <c r="C745" i="1"/>
  <c r="C746" i="1"/>
  <c r="C747" i="1"/>
  <c r="C748" i="1"/>
  <c r="C749" i="1"/>
  <c r="C750" i="1"/>
  <c r="C751" i="1"/>
  <c r="C752" i="1"/>
  <c r="C753" i="1"/>
  <c r="C754" i="1"/>
  <c r="C755" i="1"/>
  <c r="C756" i="1"/>
  <c r="C757" i="1"/>
  <c r="C758" i="1"/>
  <c r="C759" i="1"/>
  <c r="C760" i="1"/>
  <c r="C761" i="1"/>
  <c r="C762" i="1"/>
  <c r="C763" i="1"/>
  <c r="C764" i="1"/>
  <c r="C765" i="1"/>
  <c r="C766" i="1"/>
  <c r="C767" i="1"/>
  <c r="C768" i="1"/>
  <c r="C769" i="1"/>
  <c r="C770" i="1"/>
  <c r="C771" i="1"/>
  <c r="C772" i="1"/>
  <c r="C773" i="1"/>
  <c r="C774" i="1"/>
  <c r="C775" i="1"/>
  <c r="C776" i="1"/>
  <c r="C777" i="1"/>
  <c r="C778" i="1"/>
  <c r="C779" i="1"/>
  <c r="C780" i="1"/>
  <c r="C781" i="1"/>
  <c r="C782" i="1"/>
  <c r="C783" i="1"/>
  <c r="C784" i="1"/>
  <c r="C785" i="1"/>
  <c r="C786" i="1"/>
  <c r="C787" i="1"/>
  <c r="C788" i="1"/>
  <c r="C789" i="1"/>
  <c r="C790" i="1"/>
  <c r="C791" i="1"/>
  <c r="C792" i="1"/>
  <c r="C793" i="1"/>
  <c r="C794" i="1"/>
  <c r="C795" i="1"/>
  <c r="C796" i="1"/>
  <c r="C797" i="1"/>
  <c r="C798" i="1"/>
  <c r="C799" i="1"/>
  <c r="C800" i="1"/>
  <c r="C801" i="1"/>
  <c r="C802" i="1"/>
  <c r="C803" i="1"/>
  <c r="C804" i="1"/>
  <c r="C805" i="1"/>
  <c r="C806" i="1"/>
  <c r="C807" i="1"/>
  <c r="C808" i="1"/>
  <c r="C809" i="1"/>
  <c r="C810" i="1"/>
  <c r="C811" i="1"/>
  <c r="C812" i="1"/>
  <c r="C813" i="1"/>
  <c r="C814" i="1"/>
  <c r="C815" i="1"/>
  <c r="C816" i="1"/>
  <c r="C817" i="1"/>
  <c r="C818" i="1"/>
  <c r="C819" i="1"/>
  <c r="C820" i="1"/>
  <c r="C821" i="1"/>
  <c r="C822" i="1"/>
  <c r="C823" i="1"/>
  <c r="C824" i="1"/>
  <c r="C825" i="1"/>
  <c r="C826" i="1"/>
  <c r="C827" i="1"/>
  <c r="C828" i="1"/>
  <c r="C829" i="1"/>
  <c r="C830" i="1"/>
  <c r="C831" i="1"/>
  <c r="C832" i="1"/>
  <c r="C833" i="1"/>
  <c r="C834" i="1"/>
  <c r="C835" i="1"/>
  <c r="C836" i="1"/>
  <c r="C837" i="1"/>
  <c r="C838" i="1"/>
  <c r="C839" i="1"/>
  <c r="C840" i="1"/>
  <c r="C841" i="1"/>
  <c r="C842" i="1"/>
  <c r="C843" i="1"/>
  <c r="C844" i="1"/>
  <c r="C845" i="1"/>
  <c r="C846" i="1"/>
  <c r="C847" i="1"/>
  <c r="C848" i="1"/>
  <c r="C849" i="1"/>
  <c r="C850" i="1"/>
  <c r="C851" i="1"/>
  <c r="C852" i="1"/>
  <c r="C853" i="1"/>
  <c r="C854" i="1"/>
  <c r="C855" i="1"/>
  <c r="C856" i="1"/>
  <c r="C857" i="1"/>
  <c r="C858" i="1"/>
  <c r="C859" i="1"/>
  <c r="C860" i="1"/>
  <c r="C861" i="1"/>
  <c r="C862" i="1"/>
  <c r="C863" i="1"/>
  <c r="C864" i="1"/>
  <c r="C865" i="1"/>
  <c r="C866" i="1"/>
  <c r="C867" i="1"/>
  <c r="C868" i="1"/>
  <c r="C869" i="1"/>
  <c r="C870" i="1"/>
  <c r="C871" i="1"/>
  <c r="C872" i="1"/>
  <c r="C873" i="1"/>
  <c r="C874" i="1"/>
  <c r="C875" i="1"/>
  <c r="C876" i="1"/>
  <c r="C877" i="1"/>
  <c r="C878" i="1"/>
  <c r="C879" i="1"/>
  <c r="C880" i="1"/>
  <c r="C881" i="1"/>
  <c r="C882" i="1"/>
  <c r="C883" i="1"/>
  <c r="C884" i="1"/>
  <c r="C885" i="1"/>
  <c r="C886" i="1"/>
  <c r="C887" i="1"/>
  <c r="C888" i="1"/>
  <c r="C889" i="1"/>
  <c r="C890" i="1"/>
  <c r="C891" i="1"/>
  <c r="C892" i="1"/>
  <c r="C893" i="1"/>
  <c r="C894" i="1"/>
  <c r="C895" i="1"/>
  <c r="C896" i="1"/>
  <c r="C897" i="1"/>
  <c r="C898" i="1"/>
  <c r="C899" i="1"/>
  <c r="C900" i="1"/>
  <c r="C901" i="1"/>
  <c r="C902" i="1"/>
  <c r="C903" i="1"/>
  <c r="C904" i="1"/>
  <c r="C905" i="1"/>
  <c r="C906" i="1"/>
  <c r="C907" i="1"/>
  <c r="C908" i="1"/>
  <c r="C909" i="1"/>
  <c r="C910" i="1"/>
  <c r="C911" i="1"/>
  <c r="C912" i="1"/>
  <c r="C913" i="1"/>
  <c r="C914" i="1"/>
  <c r="C915" i="1"/>
  <c r="C916" i="1"/>
  <c r="C917" i="1"/>
  <c r="C918" i="1"/>
  <c r="C919" i="1"/>
  <c r="C920" i="1"/>
  <c r="C921" i="1"/>
  <c r="C922" i="1"/>
  <c r="C923" i="1"/>
  <c r="C924" i="1"/>
  <c r="C925" i="1"/>
  <c r="C926" i="1"/>
  <c r="C927" i="1"/>
  <c r="C928" i="1"/>
  <c r="C929" i="1"/>
  <c r="C930" i="1"/>
  <c r="C931" i="1"/>
  <c r="C932" i="1"/>
  <c r="C933" i="1"/>
  <c r="C934" i="1"/>
  <c r="C935" i="1"/>
  <c r="C936" i="1"/>
  <c r="C937" i="1"/>
  <c r="C938" i="1"/>
  <c r="C939" i="1"/>
  <c r="C940" i="1"/>
  <c r="C941" i="1"/>
  <c r="C942" i="1"/>
  <c r="C943" i="1"/>
  <c r="C944" i="1"/>
  <c r="C945" i="1"/>
  <c r="C946" i="1"/>
  <c r="C947" i="1"/>
  <c r="C948" i="1"/>
  <c r="C949" i="1"/>
  <c r="C950" i="1"/>
  <c r="C951" i="1"/>
  <c r="C952" i="1"/>
  <c r="C953" i="1"/>
  <c r="C954" i="1"/>
  <c r="C955" i="1"/>
  <c r="C956" i="1"/>
  <c r="C957" i="1"/>
  <c r="C958" i="1"/>
  <c r="C959" i="1"/>
  <c r="C960" i="1"/>
  <c r="C961" i="1"/>
  <c r="C962" i="1"/>
  <c r="C963" i="1"/>
  <c r="C964" i="1"/>
  <c r="C965" i="1"/>
  <c r="C966" i="1"/>
  <c r="C967" i="1"/>
  <c r="C968" i="1"/>
  <c r="C969" i="1"/>
  <c r="C970" i="1"/>
  <c r="C971" i="1"/>
  <c r="C972" i="1"/>
  <c r="C973" i="1"/>
  <c r="C974" i="1"/>
  <c r="C975" i="1"/>
  <c r="C976" i="1"/>
  <c r="C977" i="1"/>
  <c r="C978" i="1"/>
  <c r="C979" i="1"/>
  <c r="C980" i="1"/>
  <c r="C981" i="1"/>
  <c r="C982" i="1"/>
  <c r="C983" i="1"/>
  <c r="C984" i="1"/>
  <c r="C985" i="1"/>
  <c r="C986" i="1"/>
  <c r="C987" i="1"/>
  <c r="C988" i="1"/>
  <c r="C989" i="1"/>
  <c r="C990" i="1"/>
  <c r="C991" i="1"/>
  <c r="C992" i="1"/>
  <c r="C993" i="1"/>
  <c r="C994" i="1"/>
  <c r="C995" i="1"/>
  <c r="C996" i="1"/>
  <c r="C997" i="1"/>
  <c r="C998" i="1"/>
  <c r="C999" i="1"/>
  <c r="C1000" i="1"/>
  <c r="C1001" i="1"/>
  <c r="C1002" i="1"/>
  <c r="C1003" i="1"/>
  <c r="C1004" i="1"/>
  <c r="C1005" i="1"/>
  <c r="C1006" i="1"/>
  <c r="C1007" i="1"/>
  <c r="C1008" i="1"/>
  <c r="C1009" i="1"/>
  <c r="C1010" i="1"/>
  <c r="C1011" i="1"/>
  <c r="C1012" i="1"/>
  <c r="C1013" i="1"/>
  <c r="C1014" i="1"/>
  <c r="C1015" i="1"/>
  <c r="C1016" i="1"/>
  <c r="C1017" i="1"/>
  <c r="C1018" i="1"/>
  <c r="C1019" i="1"/>
  <c r="C1020" i="1"/>
  <c r="C1021" i="1"/>
  <c r="C1022" i="1"/>
  <c r="C1023" i="1"/>
  <c r="C1024" i="1"/>
  <c r="C1025" i="1"/>
  <c r="C1026" i="1"/>
  <c r="C1027" i="1"/>
  <c r="C1028" i="1"/>
  <c r="C1029" i="1"/>
  <c r="C1030" i="1"/>
  <c r="C1031" i="1"/>
  <c r="C1032" i="1"/>
  <c r="C1033" i="1"/>
  <c r="C1034" i="1"/>
  <c r="C1035" i="1"/>
  <c r="C1036" i="1"/>
  <c r="C1037" i="1"/>
  <c r="C1038" i="1"/>
  <c r="C1039" i="1"/>
  <c r="C1040" i="1"/>
  <c r="C1041" i="1"/>
  <c r="C1042" i="1"/>
  <c r="C1043" i="1"/>
  <c r="C1044" i="1"/>
  <c r="C1045" i="1"/>
  <c r="C1046" i="1"/>
  <c r="C1047" i="1"/>
  <c r="C1048" i="1"/>
  <c r="C1049" i="1"/>
  <c r="C1050" i="1"/>
  <c r="C1051" i="1"/>
  <c r="C1052" i="1"/>
  <c r="C1053" i="1"/>
  <c r="C1054" i="1"/>
  <c r="C1055" i="1"/>
  <c r="C1056" i="1"/>
  <c r="C1057" i="1"/>
  <c r="C1058" i="1"/>
  <c r="C1059" i="1"/>
  <c r="C1060" i="1"/>
  <c r="C1061" i="1"/>
  <c r="C1062" i="1"/>
  <c r="C1063" i="1"/>
  <c r="C1064" i="1"/>
  <c r="C1065" i="1"/>
  <c r="C1066" i="1"/>
  <c r="C1067" i="1"/>
  <c r="C1068" i="1"/>
  <c r="C1069" i="1"/>
  <c r="C1070" i="1"/>
  <c r="C1071" i="1"/>
  <c r="C1072" i="1"/>
  <c r="C1073" i="1"/>
  <c r="C1074" i="1"/>
  <c r="C1075" i="1"/>
  <c r="C1076" i="1"/>
  <c r="C1077" i="1"/>
  <c r="C1078" i="1"/>
  <c r="C1079" i="1"/>
  <c r="C1080" i="1"/>
  <c r="C1081" i="1"/>
  <c r="C1082" i="1"/>
  <c r="C1083" i="1"/>
  <c r="C1084" i="1"/>
  <c r="C1085" i="1"/>
  <c r="C1086" i="1"/>
  <c r="C1087" i="1"/>
  <c r="C1088" i="1"/>
  <c r="C1089" i="1"/>
  <c r="C1090" i="1"/>
  <c r="C1091" i="1"/>
  <c r="C1092" i="1"/>
  <c r="C1093" i="1"/>
  <c r="C1094" i="1"/>
  <c r="C1095" i="1"/>
  <c r="C1096" i="1"/>
  <c r="C1097" i="1"/>
  <c r="C1098" i="1"/>
  <c r="C1099" i="1"/>
  <c r="C1100" i="1"/>
  <c r="C1101" i="1"/>
  <c r="C1102" i="1"/>
  <c r="C1103" i="1"/>
  <c r="C1104" i="1"/>
  <c r="C1105" i="1"/>
  <c r="C1106" i="1"/>
  <c r="C1107" i="1"/>
  <c r="C1108" i="1"/>
  <c r="C1109" i="1"/>
  <c r="C1110" i="1"/>
  <c r="C1111" i="1"/>
  <c r="C1112" i="1"/>
  <c r="C1113" i="1"/>
  <c r="C1114" i="1"/>
  <c r="C1115" i="1"/>
  <c r="C1116" i="1"/>
  <c r="C1117" i="1"/>
  <c r="C1118" i="1"/>
  <c r="C1119" i="1"/>
  <c r="C1120" i="1"/>
  <c r="C1121" i="1"/>
  <c r="C1122" i="1"/>
  <c r="C1123" i="1"/>
  <c r="C1124" i="1"/>
  <c r="C1125" i="1"/>
  <c r="C1126" i="1"/>
  <c r="C1127" i="1"/>
  <c r="C1128" i="1"/>
  <c r="C1129" i="1"/>
  <c r="C1130" i="1"/>
  <c r="C1131" i="1"/>
  <c r="C1132" i="1"/>
  <c r="C1133" i="1"/>
  <c r="C1134" i="1"/>
  <c r="C1135" i="1"/>
  <c r="C1136" i="1"/>
  <c r="C1137" i="1"/>
  <c r="C1138" i="1"/>
  <c r="C1139" i="1"/>
  <c r="C1140" i="1"/>
  <c r="C1141" i="1"/>
  <c r="C1142" i="1"/>
  <c r="C1143" i="1"/>
  <c r="C1144" i="1"/>
  <c r="C1145" i="1"/>
  <c r="C1146" i="1"/>
  <c r="C1147" i="1"/>
  <c r="C1148" i="1"/>
  <c r="C1149" i="1"/>
  <c r="C1150" i="1"/>
  <c r="C1151" i="1"/>
  <c r="C1152" i="1"/>
  <c r="C1153" i="1"/>
  <c r="C1154" i="1"/>
  <c r="C1155" i="1"/>
  <c r="C1156" i="1"/>
  <c r="C1157" i="1"/>
  <c r="C1158" i="1"/>
  <c r="C1159" i="1"/>
  <c r="C1160" i="1"/>
  <c r="C1161" i="1"/>
  <c r="C1162" i="1"/>
  <c r="C1163" i="1"/>
  <c r="C1164" i="1"/>
  <c r="C1165" i="1"/>
  <c r="C1166" i="1"/>
  <c r="C1167" i="1"/>
  <c r="C1168" i="1"/>
  <c r="C1169" i="1"/>
  <c r="C1170" i="1"/>
  <c r="C1171" i="1"/>
  <c r="C1172" i="1"/>
  <c r="C1173" i="1"/>
  <c r="C1174" i="1"/>
  <c r="C1175" i="1"/>
  <c r="C1176" i="1"/>
  <c r="C1177" i="1"/>
  <c r="C1178" i="1"/>
  <c r="C1179" i="1"/>
  <c r="C1180" i="1"/>
  <c r="C1181" i="1"/>
  <c r="C1182" i="1"/>
  <c r="C1183" i="1"/>
  <c r="C1184" i="1"/>
  <c r="C1185" i="1"/>
  <c r="C1186" i="1"/>
  <c r="C1187" i="1"/>
  <c r="C1188" i="1"/>
  <c r="C1189" i="1"/>
  <c r="C1190" i="1"/>
  <c r="C1191" i="1"/>
  <c r="C1192" i="1"/>
  <c r="C1193" i="1"/>
  <c r="C1194" i="1"/>
  <c r="C1195" i="1"/>
  <c r="C1196" i="1"/>
  <c r="C1197" i="1"/>
  <c r="C1198" i="1"/>
  <c r="C1199" i="1"/>
  <c r="C1200" i="1"/>
  <c r="C1201" i="1"/>
  <c r="C1202" i="1"/>
  <c r="C1203" i="1"/>
  <c r="C1204" i="1"/>
  <c r="C1205" i="1"/>
  <c r="C1206" i="1"/>
  <c r="C1207" i="1"/>
  <c r="C1208" i="1"/>
  <c r="C1209" i="1"/>
  <c r="C1210" i="1"/>
  <c r="C1211" i="1"/>
  <c r="C1212" i="1"/>
  <c r="C1213" i="1"/>
  <c r="C1214" i="1"/>
  <c r="C1215" i="1"/>
  <c r="C1216" i="1"/>
  <c r="C1217" i="1"/>
  <c r="C1218" i="1"/>
  <c r="C1219" i="1"/>
  <c r="C1220" i="1"/>
  <c r="C1221" i="1"/>
  <c r="C1222" i="1"/>
  <c r="C1223" i="1"/>
  <c r="C1224" i="1"/>
  <c r="C1225" i="1"/>
  <c r="C1226" i="1"/>
  <c r="C1227" i="1"/>
  <c r="C1228" i="1"/>
  <c r="C1229" i="1"/>
  <c r="C1230" i="1"/>
  <c r="C1231" i="1"/>
  <c r="C1232" i="1"/>
  <c r="C1233" i="1"/>
  <c r="C1234" i="1"/>
  <c r="C1235" i="1"/>
  <c r="C1236" i="1"/>
  <c r="C1237" i="1"/>
  <c r="C1238" i="1"/>
  <c r="C1239" i="1"/>
  <c r="C1240" i="1"/>
  <c r="C1241" i="1"/>
  <c r="C1242" i="1"/>
  <c r="C1243" i="1"/>
  <c r="C1244" i="1"/>
  <c r="C1245" i="1"/>
  <c r="C1246" i="1"/>
  <c r="C1247" i="1"/>
  <c r="C1248" i="1"/>
  <c r="C1249" i="1"/>
  <c r="C1250" i="1"/>
  <c r="C1251" i="1"/>
  <c r="C1252" i="1"/>
  <c r="C1253" i="1"/>
  <c r="C1254" i="1"/>
  <c r="C1255" i="1"/>
  <c r="C1256" i="1"/>
  <c r="C1257" i="1"/>
  <c r="C1258" i="1"/>
  <c r="C1259" i="1"/>
  <c r="C1260" i="1"/>
  <c r="C1261" i="1"/>
  <c r="C1262" i="1"/>
  <c r="C1263" i="1"/>
  <c r="C1264" i="1"/>
  <c r="C1265" i="1"/>
  <c r="C1266" i="1"/>
  <c r="C1267" i="1"/>
  <c r="C1268" i="1"/>
  <c r="C1269" i="1"/>
  <c r="C1270" i="1"/>
  <c r="C1271" i="1"/>
  <c r="C1272" i="1"/>
  <c r="C1273" i="1"/>
  <c r="C1274" i="1"/>
  <c r="C1275" i="1"/>
  <c r="C1276" i="1"/>
  <c r="C1277" i="1"/>
  <c r="C1278" i="1"/>
  <c r="C1279" i="1"/>
  <c r="C1280" i="1"/>
  <c r="C1281" i="1"/>
  <c r="C1282" i="1"/>
  <c r="C1283" i="1"/>
  <c r="C1284" i="1"/>
  <c r="C1285" i="1"/>
  <c r="C1286" i="1"/>
  <c r="C1287" i="1"/>
  <c r="C1288" i="1"/>
  <c r="C1289" i="1"/>
  <c r="C1290" i="1"/>
  <c r="C1291" i="1"/>
  <c r="C1292" i="1"/>
  <c r="C1293" i="1"/>
  <c r="C1294" i="1"/>
  <c r="C1295" i="1"/>
  <c r="C1296" i="1"/>
  <c r="C1297" i="1"/>
  <c r="C1298" i="1"/>
  <c r="C1299" i="1"/>
  <c r="C1300" i="1"/>
  <c r="C1301" i="1"/>
  <c r="C1302" i="1"/>
  <c r="C1303" i="1"/>
  <c r="C1304" i="1"/>
  <c r="C1305" i="1"/>
  <c r="C1306" i="1"/>
  <c r="C1307" i="1"/>
  <c r="C1308" i="1"/>
  <c r="C1309" i="1"/>
  <c r="C1310" i="1"/>
  <c r="C1311" i="1"/>
  <c r="C1312" i="1"/>
  <c r="C1313" i="1"/>
  <c r="C1314" i="1"/>
  <c r="C1315" i="1"/>
  <c r="C1316" i="1"/>
</calcChain>
</file>

<file path=xl/sharedStrings.xml><?xml version="1.0" encoding="utf-8"?>
<sst xmlns="http://schemas.openxmlformats.org/spreadsheetml/2006/main" count="17064" uniqueCount="819">
  <si>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</si>
  <si>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</si>
  <si>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</si>
  <si>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</si>
  <si>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</si>
  <si>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</si>
  <si>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</si>
  <si>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</si>
  <si>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</si>
  <si>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</si>
  <si>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</si>
  <si>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</si>
  <si>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</si>
  <si>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</si>
  <si>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</si>
  <si>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</si>
  <si>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</si>
  <si>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Rijkswaterstaat</t>
  </si>
  <si>
    <t>servicedesk-data@rws.nl</t>
  </si>
  <si>
    <t>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145.000 kilometer gedigitaliseerde wegvakken (in aantal +/-825000). Het NWB-Wegen wordt 4 keer per jaar geactualiseerd.</t>
  </si>
  <si>
    <t>CC-0</t>
  </si>
  <si>
    <t>nl-NL</t>
  </si>
  <si>
    <t>groen</t>
  </si>
  <si>
    <t/>
  </si>
  <si>
    <t>beschikbaar</t>
  </si>
  <si>
    <t>Nee</t>
  </si>
  <si>
    <t>2017-01-18</t>
  </si>
  <si>
    <t>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148.000 kilometer gedigitaliseerde wegvakken (in aantal +/-945000). Het NWB-Wegen wordt 12 keer per jaar geactualiseerd.</t>
  </si>
  <si>
    <t>Publiek Domein</t>
  </si>
  <si>
    <t>Af te beelden trendwaarden voor het jaar 2015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</si>
  <si>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Berekende trendwaarden horizontale positie kustlijn ten opzicht van de Basiskustlijn voor het jaar 2016.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</si>
  <si>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Deel van de contractgrenzen 2016 Integraal Vast Onderhoud Vaarwegen (IVOV) van van Rijkswaterstaat West Nederland Zuid . De contractgrenzen zijn een een momentopname vanuit geodatabase BeheerkaartNat. In de IVOV-contractgrenzen zijn de volgende lagen te onderscheiden: Kunstwerken, Oevers, Water, Exploitatie als lijnen punten en/of vlakken.</t>
  </si>
  <si>
    <t>Deel van de contractgrenzen 2016 Integraal Vast Onderhoud Vaarwegen (IVOV) van van Rijkswaterstaat West Nederland Zuid. De contractgrenzen zijn een een momentopname vanuit geodatabase Beheerkaart Nat. In de IVOV-contractgrenzen zijn de volgende lagen te onderscheiden: Kunstwerken, Oevers, Water, Exploitatie als lijnen punten en/of vlakken.</t>
  </si>
  <si>
    <t>Deel van de contractgrenzen 2016 Integraal Vast Onderhoud Vaarwegen (IVOV) van van Rijkswaterstaat West Nederland Zuid. De contractgrenzen zijn een een momentopname vanuit geodatabase BeheerkaartNat. In de IVOV-contractgrenzen zijn de volgende lagen te onderscheiden: Kunstwerken, Oevers, Water, Exploitatie als lijnen punten en/of vlakken.</t>
  </si>
  <si>
    <t>Deel van de contractgrenzen 2016 Integraal Vast Onderhoud Vaarwegen (IVOV) van van Rijkswaterstaat West Nederland Zuid De contractgrenzen zijn een een momentopname vanuit geodatabase BeheerkaartNat. In de IVOV-contractgrenzen zijn de volgende lagen te onderscheiden: Kunstwerken, Oevers, Water, Exploitatie als lijnen punten en/of vlakken.</t>
  </si>
  <si>
    <t>Zaaknummer 31074371. 
Laser Waddenzee 2015. 
De data is verkregen middels laseraltimetrie. De inwinning vindt meerjarig plaats ten behoeve van het monitoren van de platen in de Waddenzee.
Gridbestanden met een pixelgrootte van 2m.</t>
  </si>
  <si>
    <t>Overzicht van de vlieglijnen van de platen van de Westerschelde 2014
Verklaring van de attributen:
VLIEGDATUM = datum van opname</t>
  </si>
  <si>
    <t>Zaaknummer 31074371. Laser Kust 2015 - Vlieglijnen (shape) - Waddenzee. De data is verkregen middels laseraltimetrie.
 De inwinning vindt meerjarig plaats ten behoeve van het monitoren van de platen in de Waddenzee</t>
  </si>
  <si>
    <t>oranje</t>
  </si>
  <si>
    <t>Zaaknummer 31074371. Laser Kust 2015 - 2m gefilterd grid van de zandmotor. De data is verkregen middels laseraltimetrie. De inwinning vindt meerjarig plaats ten behoeve van het handhaven van de basiskustlijn van de gehele Nederlandse Kust.</t>
  </si>
  <si>
    <t>Laser Westerschelde 2015 - 2m gefilterd grid van de Westerschelde. De data is verkregen middels laseraltimetrie. De inwinning vindt meerjarig plaats ten behoeve van het handhaven van de basiskustlijn van de gehele Nederlandse Kust.
Voor verdere informatie zie kwaliteitsdocument</t>
  </si>
  <si>
    <t>Verkeersintensiteiten van 2014 uit INWEVA. Gemiddelden per werkdag</t>
  </si>
  <si>
    <t>Verkeersintensiteiten van 2014 uit INWEVA. Gemiddelden per weekdag</t>
  </si>
  <si>
    <t>Verkeersintensiteiten van 2014 uit INWEVA. Gemiddelden per spits</t>
  </si>
  <si>
    <t>Een aan weerszijden afsluitbare (schut)sluis waarin door aanpassing van het waterpeil, schepen van het ene op het andere niveau worden gebracht.</t>
  </si>
  <si>
    <t>Minst Gepeilde Diepte. Aanwijzing voor de ligging van het bodemvlak t.o.v. NAP of streefpeil. Bij sommige vaarwegen kan hier dus een waarde van plus NAP zijn ingevuld. In verband met de snel wijzigende bodemligging van geulen in getijgebieden kan de in ViN opgenomen diepte van deze vaarwegen afwijken van de actuele situatie. Dit geldt tevens voor een aantal rivieren waarvan de bodemligging vrijwel continu verandert na een hoogwaterperiode. Voor de actuele dieptegegevens van deze vaarwegen dient u contact op te nemen met de vaarwegbeheerders. Notatie: Indien er sprake is van een zomer- en een winterpeil dan is de diepte altijd opge geven t.o.v. het win ter peil</t>
  </si>
  <si>
    <t>Bevaarbaarheid Voor iedere haven, vaarweg of een deel van een vaarweg is een zogenoemde bevaarbaarheidsklasse toegekend. De indeling voor die klassen is gebaseerd op de afmetingen van standaard-schepen en duwstellen. De Conferentie van Europese Ministers van Verkeer (CEMT) kwam in 1992 met een klassering voor bevaarbaarheid. Aan de klassen I tot en met VII werd voor Nederland een klasse 0 toegevoegd, voor vaarwegen kleiner dan klasse I. Klasse VII is niet overgenomen: duwvaart met negen bakken komt niet voor in Nederland. De klassen zijn gebaseerd op de volgende zaken: - lengte en de breedte van het vaartuig (het grootste duwstel). - breedte en diepte van de vaarweg. - kunstwerken (schutlengte, wijdte, drempeldiepte en hoogte van hefdeuren en/of vaste bruggen). - eventuele (scherpe) bochten in de vaarweg. De volgende klassen worden onderkend: 0 Kleine vaartuigen en recreatievaart I Spits II Kempenaar III Dortmund - Eemskanaalschip IV Rijn - Hernekanaalschip, Eenbaksduwstel Va Groot Rijnschip, Eenbaksduwstel Vb Tweebaksduwstel (lange formatie) VIa Tweebaksduwstel (brede formatie) VIb Vierbaksduwstel VIc Zesbaksduwstel</t>
  </si>
  <si>
    <t>Voor deze dataset is een uitsnede van het rivierengebied gebruikt uit het NWB-Vaarwegen. Deze bevat alle bevaarbare waterwegen voor de beroeps- en recreatievaart in Nederland met een minimale doorvaarhoogte van 2,45 meter en een minimale diepgang van 1,10 meter. De vaarwegen worden in de oneven maanden ter beschikking gesteld. Updates van het NWB-vaarwegen worden eens per kwartaal uitgegeven.</t>
  </si>
  <si>
    <t>Voor deze dataset is een uitsnede uit het Digitaal Topografisch Bestand (DTB) gebruikt voor de onderdelen greppels (21103) en rasters (21118). Het DTB van de natte hoofdinfrastructuur in beheer bij Rijkswaterstaat (DTB-Nat) en de droge hoofdinfrastructuur (DTB-Droog) in beheer bij Rijkswaterstaat opgebouwd uit punt-, lijn- en vlakinformatie.</t>
  </si>
  <si>
    <t>Het NWB-Vaarwegen van het NIS is een bevroren versie van het NWB en wordt perdiodiek geactualiseerd. Zie datum van de bron welke bevroren versie dit betreft. Het NWB-Vaarwegen bevat alle bevaarbare waterwegen voor de beroeps- en recreatievaart in Nederland met een minimale doorvaarhoogte van 2,45 meter en een minimale diepgang van 1,10 meter.</t>
  </si>
  <si>
    <t>Militaire gebieden op de Noordzee welke gebruikt worden voor militaire schietoefeningen met geschut zowel vanuit de kust als uit vliegtuigen (het omvat vlieggebieden en schietterreinen), zoals deze zijn opgenomen in de Mijnbouwregeling 2014.
Gepubliceerd in Staatscourant nummer 4928, van 22 februari 2014.
Regeling van de Minister van Economische Zaken van 13 februari 2014, nr. WJZ/13208613, tot wijziging van de Mijnbouwregeling.
Bronvermelding: Ministerie van Defensie
ETRS89, UTM zone 31 N</t>
  </si>
  <si>
    <t>Af te beelden trendwaarden voor het jaar 2013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</si>
  <si>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Berekende trendwaarden horizontale positie kustlijn ten opzicht van de Basiskustlijn voor het jaar 2014.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</si>
  <si>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Polygonen van gelijke diepte op de Noordzee binnen de grenzen van het NCP. Deze ploygonen zijn gegenereerd uit de bathemetrie 2014.</t>
  </si>
  <si>
    <t>Dieptelijnen per 0,5 meter in LAT, gemaakt op basis van DNZ_bath_2014.</t>
  </si>
  <si>
    <t>Op de Noordzee wordt olie en gas gewonnen. De vergunningverlening voor exploitatie van olie en gas is geregeld in de Mijnbouwregeling. In de Mijnbouwregeling wordt hierbij een indeling van het Nederlands Continentaal Plat (NCP) gehanteerd, waarbij het NCP wordt verdeeld in segmenten.
De segmenten worden van noord naar zuid aangegeven door de letters A tot en met T. De segmenten zijn gekoppeld aan de lengte- en breedtegraden. 
Zo bevat segment A het deel van het NCP van 55 tot 56 Noorderbreedte en 3 tot 4 graden Oosterlengte. De segmenten zijn verdeeld in blokken van 10 minuten Noorderbreedte bij 20 minuten Oosterlengte (circa 400 km2). Deze blokken worden aangegeven met de letter van het segment, aangevuld met een nummer van 1 tot 18.
De plaatsaanduiding met de blokindeling van het NCP is ook bruikbaar gebleken voor andere gebruiksfuncties, zoals zandwinning en windenergie. Ook bij het geologisch onderzoek wordt gebruik gemaakt van de blokindeling.</t>
  </si>
  <si>
    <t>Bathymetrie van een het NCP gedeelte van de Noordzee. Deze is gebaseerd op dieptegegevens welke komt uit de RBB database van de dienst der Hydrografie en is aangevuld met data uit 2003. Door interpolatie is dit bestand alleen als achtergrond te gebruiken.</t>
  </si>
  <si>
    <t>Van de Westerschelde is in 2012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De droogvalduur- en stromingskaart worden gemodelleerd. Voor de zoutkaart wordt voor de Westerschelde een vaste (OMES) grens gehanteerd. 
Naast de ecotopenkaart wordt een eco-elementenkaart samengesteld, met hierin informatie over: zeegras, mosselen, (Japanse) oesters.</t>
  </si>
  <si>
    <t>Van de Westerschelde is in 2011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De droogvalduur- en stromingskaart worden gemodelleerd. Voor de zoutkaart wordt voor de Westerschelde een vaste (OMES) grens gehanteerd. 
Naast de ecotopenkaart wordt een eco-elementenkaart samengesteld, met hierin informatie over: zeegras, mosselen, (Japanse) oesters.</t>
  </si>
  <si>
    <t>Van de Westerschelde is in 2010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De droogvalduur- en stromingskaart worden gemodelleerd. Voor de zoutkaart wordt voor de Westerschelde een vaste (OMES) grens gehanteerd. 
Naast de ecotopenkaart wordt een eco-elementenkaart samengesteld, met hierin informatie over: zeegras, mosselen, (Japanse) oesters.</t>
  </si>
  <si>
    <t>Van de Westerschelde is in 2008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De droogvalduur- en stromingskaart worden gemodelleerd. Voor de zoutkaart wordt voor de Westerschelde een vaste (OMES) grens gehanteerd. 
Naast de ecotopenkaart wordt een eco-elementenkaart samengesteld, met hierin informatie over: zeegras, mosselen, (Japanse) oesters.</t>
  </si>
  <si>
    <t>Van de Westerschelde is in 2004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en geextrapoleerd naar GLW (4% droogvalduur). De droogvalduur- en stromingskaart worden gemodelleerd. Voor de zoutkaart wordt voor de Westerschelde een vaste (OMES) grens gehanteerd.</t>
  </si>
  <si>
    <t>Van de Westerschelde is in 2001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en geextrapoleerd naar GLW (4% droogvalduur). De droogvalduur- en stromingskaart worden gemodelleerd. Voor de zoutkaart wordt voor de Westerschelde een vaste (OMES) grens gehanteerd.</t>
  </si>
  <si>
    <t>Van de Westerschelde is in 1996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en geextrapoleerd naar GLW (4% droogvalduur). De droogvalduur- en stromingskaart worden gemodelleerd. Voor de zoutkaart wordt voor de Westerschelde een vaste (OMES) grens gehanteerd.</t>
  </si>
  <si>
    <t>Zoekgebieden voor zand uit: LaMer ophoogzand (april 2006); MER suppletie april 2006;  MER suppletie 2007  en MER suppletie 2008-2012, MER suppletie 2013-2020 en Zwakke Schakels Noord-Holland</t>
  </si>
  <si>
    <t>Verkeersintensiteiten van 2013 uit INWEVA. Gemiddelden per werkdag</t>
  </si>
  <si>
    <t>Verkeersintensiteiten van 2013 uit INWEVA. Gemiddelden per weekdag</t>
  </si>
  <si>
    <t>Verkeersintensiteiten van 2013 uit INWEVA. Gemiddelden per spits</t>
  </si>
  <si>
    <t>De kartering is vervaardigd volgens de methodiek 3de cyclus Ecotopen. Aanpassingen voor het programma Natuurvriendelijke oevers Maas zijn beschreven in de toelichting "Monitoring vegetatiestructuur en oeverlijn Eroderende oevers Maas 2009". Als basis voor de kartering is in de fotovlucht d.d. 2 en 21 juni 2012 (infrarood) gebruikt, gevlogen op schaal 1:5000 met een grondresolutie van 6 cm.
Naast de vegetatiestructuur is ook de 'bovenkant talud' en de 'bovenzijde erosierand' vastgelegd.</t>
  </si>
  <si>
    <t>Actuele en voorspelde waterstanden en andere water gerelateerde metingen en voorspellingen in onbewerkte en bewerkte vorm. In de data wordt met codes gewerkt voor het aanduiden van WAT er gemeten is en WAAR er gemeten is.</t>
  </si>
  <si>
    <t>Berekende trendwaarden horizontale positie kustlijn ten opzicht van de Basiskustlijn voor het jaar 2013.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</si>
  <si>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Polygonen van gelijke diepte op (een groot deel van ) de Noordzee. Deze ploygonen zijn gegenereerd uit de bathemetrie 2012.</t>
  </si>
  <si>
    <t>Polygonen van gelijke diepte op de Noordzee binnen de grenzen van het NCP. Deze ploygonen zijn gegenereerd uit de bathemetrie 2013.</t>
  </si>
  <si>
    <t>Dieptelijnen per 0,5 meter in LAT, gemaakt op basis van DNZ_bath_2013.</t>
  </si>
  <si>
    <t>Dieptegegevens (tov LLWS) Noordzee met 5 m resolutie</t>
  </si>
  <si>
    <t>Bathymetrie van een het NCP gedeelte van de Noordzee. Deze is gebaseerd op dieptegegevens welke komt uit de RBB database van de dienst der Hydrografie en is aangevuld met data uit 2003. Door interpolatie is dit bestand is alleen om als gebruikt te worden.</t>
  </si>
  <si>
    <t>Astromische waterstandsreeksen voor locaties in de getijde wateren. Voor elke 10 minuten 1 waarde. Tijden in MET. (Geen voorspelling)</t>
  </si>
  <si>
    <t>Directconnect naar waterkwaliteitmetingen bij de grenslocaties Rijn (Lobith), (Maas) Eijsden en de lokatie Keizersveer. Diverse in het kader van de bewaking van de waterkwaliteit gemeten waterkwaliteitsparameters. Chemisch en fysische Parameters; Chloride, Geleidendheid (20gr.C), Zuurgraad, Troebelheid, Ammonium, Zuurstofgehalte, Fluoride. Biologische monitoring; Algenbewaking, Dapnia Cel rechts, Dapnia Cel links. Meetsystemen voor organische verbindingen; Vluchtige verbindingen, Matig polaire verbindingen, Polaire verbindingen. Meetsysteem voor radioactiviteit; Radioactiviteit. Zware Metalen; Cadmium, Koper, Lood, Zink</t>
  </si>
  <si>
    <t>Deze kaart geeft een beeld van een deel van de resultaten uit het onderzoek 'Investigation of the blue spots in the Netherlands National Highway Network' uitgevoerd door Deltares in opdracht van DVS-OLK.
Voor vragen en/of opmerkingen over de inhoud van dit bestand of indien u meer informatie wenst over het onderzoek naar locaties in het Hoofdwegennet die gevoelig zijn voor overstroming, kunt u contact opnemen met het NIS.</t>
  </si>
  <si>
    <t>Verkeersintensiteiten van 2012 uit INWEVA. Gemiddelden per werkdag</t>
  </si>
  <si>
    <t>Verkeersintensiteiten van 2012 uit INWEVA. Gemiddelden per weekdag</t>
  </si>
  <si>
    <t>Verkeersintensiteiten van 2012 uit INWEVA. Gemiddelden per spits</t>
  </si>
  <si>
    <t>Door Data_ICT Dienst (DID) van Rijkswaterstaat beheerde bestand met de punten van de waterkerende kunstwerken van Rijkswaterstaat en de Waterschappen. Mutaties kunnen bij de Waterdienst worden aangemeld waarna mutatie in bestand wordt verwerkt.</t>
  </si>
  <si>
    <t>Door Data_ICT Dienst (DID) van Rijkswaterstaat beheerde bestand met de lijnen van de Waterkeringen van Rijkswaterstaat en de Waterschappen.
Mutaties kunnen bij de Waterdienst worden aangemeld waarna mutatie in bestand wordt verwerkt.</t>
  </si>
  <si>
    <t>1 km, 30 mijl, 50 km en 50 mijl zeewaarts getrokken lijnen gerekend vanaf de kustlijn GLLWS die loopt van de nieuwe NCP-grens Nederland-Belgie tot aan de NCP-grens Nederland-Duitsland</t>
  </si>
  <si>
    <t>Ligging van de RijksStrandPalen lijn langs de nederlandse Kust. In het kader van het JARKUS programma worden jaarlijks loodrecht op de RijkStrandpalenlijn (de lijn die de RijksStrandPalen onderling verbindt) hoogte en dieptemetingen verricht. Deze metingen dienen als input voor onder andere onderzoek en toetsing basiskustlijnpositie. De RijksStrandPalen lijn vormt het 0 punt van de metingen (landwaarts is negatief). Deze laag wordt gebruikt voor weergave in de Kustlijnkaartenboeken.</t>
  </si>
  <si>
    <t>Ligging van de JARKUS-raaien langs de nederlandse Kust. In het kader van het JARKUS programma worden jaarlijks langs de jarjusraaien hoogte en dieptemetingen verricht. Deze metingen dienen als input voor onder andere onderzoek en toetsing basiskustlijnpositie. Het JARKUS-bestand is in beheer bij de Waterdienst. Deze laag wordt gebruikt voor weergave in de Kustlijnkaartenboeken.</t>
  </si>
  <si>
    <t>Ligging van de Basiskustlijn langs de nederlandse Kust. Deze basiskustlijn is eerst in 1991 vastgesteld en op 2001 herzien. De basiskustlijn is de kustlijn waaraan getoetst wordt in het kader van de Kustlijnzorg.</t>
  </si>
  <si>
    <t>Af te beelden trendwaarden voor het jaar 2012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</si>
  <si>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Geplande suppleties 2013 ten behoeve van de Kustlijnzorg met als doel het instandhouden van de Basiskustlijn. Suppleties zijn bepaald op grond van expertjudgement gebruik makend van de toetsresultaten van 2012 en data van 2011. Suppleties worden weergegeven in het kustlijnkaartenboek dat jaarlijks wordt uitgegeven door de Waterdienst.</t>
  </si>
  <si>
    <t>Geplande suppleties 2012 ten behoeve van de Kustlijnzorg met als doel het instandhouden van de Basiskustlijn. Suppleties zijn bepaald op grond van expertjudgement gebruik makend van de toetsresultaten van 2011 en data van 2010. Suppleties worden weergegeven in het kustlijnkaartenboek dat jaarlijks wordt uitgegeven door de Waterdienst.</t>
  </si>
  <si>
    <t>Berekende trendwaarden horizontale positie kustlijn ten opzicht van de Basiskustlijn voor het jaar 2012.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</si>
  <si>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Foto's van de rivieren in het beheergebied van Rijkswaterstaat Zuid-Holland, foto's zijn gemaakt in 2012 vanuit een helikopter</t>
  </si>
  <si>
    <t>De definitie van zeegebieden is van cruciaal belang voor de bepaling van de toepasselijkheid van Richtlijn 98/18/EG op de verschillende klassen passagiersschepen. De richtlijn bevat een procedure voor de publicatie van lijsten van zeegebieden die moeilijk uitvoerbaar is gebleken. Derhalve dient er een functionele en heldere procedure te worden vastgesteld, die een doeltreffend toezicht op de uitvoering van de richtlijn mogelijk maakt. Een geharmoniseerd veiligheidsniveau voor passagiersschepen in de gehele Gemeenschap vereist dat de vrijstelling voor Griekenland met betrekking tot het tijdschema voor de toepassing van de veiligheidseisen ongedaan wordt gemaakt.</t>
  </si>
  <si>
    <t>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145.000 kilometer gedigitaliseerde wegvakken (in aantal +/-825000).
Het NWB-Wegen wordt maandelijks geactualiseerd.</t>
  </si>
  <si>
    <t>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145.000 kilometer gedigitaliseerde wegvakken (in aantal +/-825000).
Het NWB-Wegen wordt 4 keer per jaar geactualiseerd.</t>
  </si>
  <si>
    <t>Betreft monitoringsdata. Bij de start van de bouw van de eerste windparken op zee was nog veel onbekend over de ecologische effecten. Het Shortlist onderzoek richt zich op enerzijds de verspreiding van soorten (vogels, vissen en zeezoogdieren) en anderzijds de effecten op deze soorten in relatie tot de bouw en aanwezigheid van windparken. Het onderzoek is uitgevoerd in de periode 2010-2011. Rapporten zijn te vinden op www.informatiehuismarien.nl</t>
  </si>
  <si>
    <t>Af te beelden trendwaarden voor het jaar 2011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</si>
  <si>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Geplande suppleties 2011 ten behoeve van de Kustlijnzorg met als doel het instandhouden van de Basiskustlijn. Suppleties zijn bepaald op grond van expertjudgement gebruik makend van de toetsresultaten van 2010 en data van 2009. Suppleties worden weergegeven in het kustlijnkaartenboek dat jaarlijks wordt uitgegeven door de Waterdienst.</t>
  </si>
  <si>
    <t>Berekende trendwaarden horizontale positie kustlijn ten opzicht van de Basiskustlijn voor het jaar 2011.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</si>
  <si>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Knooppunten naar puntobjecten, informatie o.a. afkomstig uit uit nwb wegvakken.</t>
  </si>
  <si>
    <t>De vakken voor de monstercampagne (MCR) die gehouden wordt in 2010 in de wateren in de regio Rotterdam.</t>
  </si>
  <si>
    <t>De grenzen van de vaargeul voor de binnenvaart in de Dordtsche Kil. De vaargeul is onderverdeeld in vakken met gelijke Nautisch Gegarandeerde Diepte (NGD).</t>
  </si>
  <si>
    <t>De grens van de vaargeul voor de binnenvaart in de Oude Maas ten noorden van de Dordtsche Kil (kilometerraai 979.4 - 979.8). Het van van de vaargeul is hier gelijk aan het baggervak en heeft een Nautisch Gegarandeerde Diepte (NGD).</t>
  </si>
  <si>
    <t>De grenzen van de vaargeul in de Nieuwe Merwede. De vaargeul is onderverdeeld in vakken met gelijke Nautisch Gegarandeerde Diepte (NGD). De grenzen behoren bij het bestek met nummer 31031715.</t>
  </si>
  <si>
    <t>De grenzen van de vaargeul in de Boven Merwede. De vaargeul is onderverdeeld in vakken met gelijke Nautisch Gegarandeerde Diepte (NGD). De grenzen behoren bij het bestek met nummer 31028974.</t>
  </si>
  <si>
    <t>De grenzen van de vaargeul in de Beneden Merwede. De vaargeul is onderverdeeld in vakken met gelijke Nautisch Gegarandeerde Diepte (NGD), langs de randen liggen randvakken. De grenzen behoren bij het bestek met nummer 31028974.</t>
  </si>
  <si>
    <t>Af te beelden trendwaarden voor het jaar 2010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</si>
  <si>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Geplande suppleties 2010 ten behoeve van de Kustlijnzorg met als doel het instandhouden van de Basiskustlijn. Suppleties zijn bepaald op grond van expertjudgement gebruik makend van de toetsresultaten van 2009 en data van 2008. Suppleties worden weergegeven in het kustlijnkaartenboek dat jaarlijks wordt uitgegeven door de Waterdienst.</t>
  </si>
  <si>
    <t>Berekende trendwaarden horizontale positie kustlijn ten opzicht van de Basiskustlijn voor het jaar 2010.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</si>
  <si>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Van de Maas, de Rijntakken-Oost, de Rijn-Maasmonding, het Volkerak-Zoommeer en het IJsselmeergebied wordt om de 6 jaar een ecotopenkaart geleverd. Een ecotopenkaart wordt opgebouwd door meerdere informatielagen samen te voegen, zoals een vegetatiestructuurkaart, een waterdieptekaart, een overstromingsduurkaart, etc. De vegetatiestructuurkaart vormt hierbij de belangrijkste laag. Deze kaart wordt met behulp van luchtfoto's geproduceerd op een schaal van 1:10.000. Een ecotoop is gedefinieerd als een ruimtelijk te begrenzen ecologische eenheid, waarvan de samenstelling en ontwikkeling worden bepaald door abiotische, biotische en antropogene aspecten samen.
De 1e cyclus karteringen zijn uitgevoerd in de periode van 1996 tot en met 1998 (jaar van fotovluchten).</t>
  </si>
  <si>
    <t>De vakken voor de monstercampagne (MCR) die gehouden wordt in 2011 2019 in de wateren in de regio Rotterdam.</t>
  </si>
  <si>
    <t>Door Data_ICT Dienst (DID) van Rijkswaterstaat beheerde bestand met de vlakken van de Waterkeringen van Rijkswaterstaat en de Waterschappen.
Mutaties kunnen bij de Waterdienst worden aangemeld waarna mutatie in bestand wordt verwerkt.</t>
  </si>
  <si>
    <t>Extract met alleen provincie hoofdsteden van het Digitaal topografisch bestand van Nederland met punt- lijn en vlak-informatie voor kleinschalige toepassingen.</t>
  </si>
  <si>
    <t>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145.000 kilometer gedigitaliseerde wegvakken (in aantal +/-825000).
Het NWB-Wegen wordt 4 keer per jaar geactualiseerd.</t>
  </si>
  <si>
    <t>Af te beelden trendwaarden voor het jaar 2009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</si>
  <si>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Geplande suppleties 2009 ten behoeve van de Kustlijnzorg met als doel het instandhouden van de Basiskustlijn. Suppleties zijn bepaald op grond van expertjudgement gebruik makend van de toetsresultaten van 2008 en data van 2007. Suppleties worden weergegeven in het kustlijnkaartenboek dat jaarlijks wordt uitgegeven door de Waterdienst.</t>
  </si>
  <si>
    <t>Berekende trendwaarden horizontale positie kustlijn ten opzicht van de Basiskustlijn voor het jaar 2009.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</si>
  <si>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De Westerschelde en Saeftinghe is door het Ministerie van Economische Zaken in 2009 (destijd Ministerie van Landbouw, Natuurbeheer en Voedselkwaliteit) aangewezen als Natura2000-gebied. Zowel de vogel- als de habitatrichtlijn is van toepassing op dit gebied. Het habitattypenbestand is opgebouwd uit de vegetatiekarteringen Westerschelde uit 2009 en Verdronken Zwarte Polder uit 2007, plus een intergetijdengebied. Ook heeft John Janssen voor een aantal binnendijkse gebieden karteringen gemaakt. Voor een beperkt aantal polygonen is gebruik gemaakt van expert-judgement (John Janssen van Alterra en Maarten Platteeuw van Rijkswaterstaat (Water Verkeer en Leefomgeving)). Dit bestand is de eerste habitattypenkartering, oftewel de T0. Na een periode van zes jaar wordt een herziene habitattypenkartering opgebouwd o.b.v. recentere vegetatiegegevens.</t>
  </si>
  <si>
    <t>De Rijksoverheid heeft 4 windenergiegebieden aangewezen waar windparken mogen komen: Borssele, IJmuiden Ver, Hollandse Kust en Ten Noorden van de Waddeneilanden. Deze gebieden liggen buiten de 12-mijlszone, minimaal 22 kilometer uit de kust. De windenergiegebieden Borssele en IJmuiden Ver zijn aangewezen in het Nationaal Waterplan 2009-2015. De gebieden Hollandse Kust en Ten Noorden van de Waddeneilanden zijn aangewezen in de Rijksstructuurvisie Windenergie op Zee.In 2015 kan in Borssele worden gestart met de ontwikkeling van een windpark. Daarna is vanaf 2017 de ontwikkeling van windparken voor de Zuid-Hollandse en Noord-Hollandse kust beoogd.</t>
  </si>
  <si>
    <t>De grenzen van de vaargeul in de Dordtsche Kil. De vaargeul is onderverdeeld in baggervakken met gelijke Nautisch Gegarandeerde Diepte (NGD).</t>
  </si>
  <si>
    <t>De -5 meter NAP en -20 meter NAP langs de Nederlandse kust</t>
  </si>
  <si>
    <t>Locaties van foto's van de rivieren in het beheergebied van Rijkswaterstaat Zuid-Holland, de foto's zijn gemaakt in 2008 vanuit een helikopter.</t>
  </si>
  <si>
    <t>Grens van het gebied PKB Waddenzee</t>
  </si>
  <si>
    <t>Gebieden die volgens de Structuurschema Militaire Terreinen 2 en het Mijnbouwbesluit in bepaalde perioden niet gebruikt mogen worden voor zand, schelp- en/of grindwinning</t>
  </si>
  <si>
    <t>Bladoverzicht van de gescande waterstaatskaarten 5e editie
Verklaring van de attributen:
NAAM= bladnummer
HERZIEN= jaar van herziening/verkenning
EDITIE= jaar van uitgifte</t>
  </si>
  <si>
    <t>Zandsuppletiegebieden aan de nederlandse kust vanaf 2007 tot 2020.</t>
  </si>
  <si>
    <t>De locaties van foto's van het gebied rondom de Nieuwe Waterweg in het beheergebied van Rijkswaterstaat Zuid-Holland, de foto's zijn gemaakt in 2007 vanuit een helikopter.</t>
  </si>
  <si>
    <t>Af te beelden trendwaarden voor het jaar 2007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</si>
  <si>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Overzicht van de vlieglijnen. Met deze vlieglijnen wordt weergegeven waar het vliegtuig gevolgen heeft tijdens de opname van het AHN. Per vlieglijn is de datum van opname van het AHN opgenomen. De vlieglijnen waren niet meer van heel Nederland te achterhalen. Vooral van die gebieden waar als eerste AHN is gemaakt. Dit zijn Noord-Holland, Drenthe, delen van Overijssel, Zeeland en Noord-Brabant.
De vlieglijnen zijn berekend op basis van de 4 hoekpunten van de in het terrein opgenomen strook.</t>
  </si>
  <si>
    <t>Contouren van stedelijke gebieden waarin geen filtering van de ahn-data heeft plaats gevonden. Deze grens is meestal door de aannemer op basis van andere bestanden bepaald  en vervolgens is het bestand volgens deze grenzen gefilterd. De AGI heeft vervolgens in de reguliere controles bepaald of deze gebiedsgrens correct was of niet en eventueel de gebiedsgrens aangepast. De aannemer heeft hier vervolgens weer naar gehandeld door respectievelijk data terug te zetten (indien er teveel gefilterd was) of data te filteren (indien er te weinig gefilterd was).</t>
  </si>
  <si>
    <t>Overzicht van de gebieden met densiteit gebruikte laser uitgedrukt in aantal punten per 16 vierkante meter</t>
  </si>
  <si>
    <t>Zandsuppletiegebieden aan de nederlandse kust in 2007.</t>
  </si>
  <si>
    <t>Af te beelden trendwaarden voor het jaar 2006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</si>
  <si>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Geplande suppleties 2007 ten behoeve van de Kustlijnzorg met als doel het instandhouden van de Basiskustlijn. Suppleties zijn bepaald op grond van expertjudgement gebruik makend van de toetsresultaten van 2006 en data van 2005. Suppleties worden weergegeven in het kustlijnkaartenboek dat jaarlijks wordt uitgegeven door de Waterdienst.</t>
  </si>
  <si>
    <t>Hoogtemodel van de kust in de vorm van een grid met een resolutie van 5 meter waarbij de hoogtewaarde is opgenomen in meters. Delen van de zandige kust van Nederland worden elk jaar in hoogte vastgelegd t.b.v. het vervaardigen van strandprofielen t.b.v. monitoring kustlijn.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</si>
  <si>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Af te beelden trendwaarden voor het jaar 2005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</si>
  <si>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Geplande suppleties 2006 ten behoeve van de Kustlijnzorg met als doel het instandhouden van de Basiskustlijn. Suppleties zijn bepaald op grond van expertjudgement gebruik makend van de toetsresultaten van 2005 en data van 2004. Suppleties worden weergegeven in het kustlijnkaartenboek dat jaarlijks wordt uitgegeven door de Waterdienst.</t>
  </si>
  <si>
    <t>Grindpercentage bovenste 15 cm zeebodem in grid</t>
  </si>
  <si>
    <t>Korrelgrootte (D50) zand bovenste 15 cm zeebodem in polygonen</t>
  </si>
  <si>
    <t>Korrelgrootte (D50) zand bovenste 15 cm zeebodem in grid</t>
  </si>
  <si>
    <t>De vakken voor de monstercampagne (MCR) die gehouden wordt in 1997 in de wateren in de regio Rotterdam.</t>
  </si>
  <si>
    <t>er treedt voortdurend sedimenttransport op in het IJsselmeergebied. Het bestand schetst dan ook de bodemgesteldheid van de toplaag op het moment van kartering, 1981-1991.
Toelichting over het bestand is aanwezig bij de afdeling WSM, dienst IJsselmeergebied.</t>
  </si>
  <si>
    <t>In het bestand "bodem.shp" wordt de opbouw van de bovenste 80 cm van de waterbodem weergegeven. Het bestand schetst de bodemgesteldheid op het moment van kartering, 1981-1991. Bij het bestand horen 3 layer of avl-bestanden waarin de legenda staat aangegeven. Deze bestanden kunnen ook gebruikt worden om de 3 lagen die in het bestand verwerkt zitten te tonen, te weten 0-25, 25-50 en 50-80 cm.
Toelichting over het bestand is aanwezig bij de afdeling WSM, dienst IJsselmeergebied.</t>
  </si>
  <si>
    <t>De kilometerraaien in de rivieren in het beheergebied van Rijkswaterstaat Zuid-Holland.</t>
  </si>
  <si>
    <t>Dieptegegevens Noordzee op basis van varierende resolutie</t>
  </si>
  <si>
    <t>Het Actueel Hoogtebestand Nederland (AHN) is een hoogtebestand vervaardigd door middel van laseraltimetrie. Van de gemeten hoogtes zijn een aantal producten gemaakt, welke grofweg zijn te verdelen in twee categorieën; 3D-puntenwolken en rasters. 
De puntenwolk is een LAS file waarbij een classificatie is toegepast op de afzonderlijke punten. Ieder punt is toegekend aan een van de volgende klassen: maaiveld, bebouwing, water, kunstwerk of overig. Daarnaast zijn er per punt extra attributen opgenomen.
LAS is standaard binair formaat om LiDAR data op te slaan en uit te wisselen. De LAS file is gecomprimeerd tot een LAZ (ofwel LASzip) file.  Door de compressie toe te passen wordt de originele LAS file gereduceerd tot ca. 10% waarbij geen kwaliteitsverlies optreedt. 
Meer informatie vindt u op www.ahn.nl.</t>
  </si>
  <si>
    <t>Het Actueel Hoogtebestand Nederland (AHN) is een hoogtebestand vervaardigd door middel van laseraltimetrie. Het AHN3 0,5 meter DTM (maaiveldraster, niet opgevuld), is bedoeld als maaiveldbestand, vervaardigd uit het 0,5 meter DTM door middel van een ongewogen gemiddelde. Er zijn geen verdere bewerkingen uitgevoerd.
Meer informatie vindt u op www.ahn.nl.</t>
  </si>
  <si>
    <t>Het Actueel Hoogtebestand Nederland (AHN) is een hoogtebestand vervaardigd door middel van laseraltimetrie. Het AHN3 0,5 meter DSM is bedoeld als ruw bestand, vervaardigd uit het 0,5 meter DSM door middel van een ongewogen gemiddelde. Er zijn geen verdere bewerkingen uitgevoerd.
Meer informatie vindt u op www.ahn.nl.</t>
  </si>
  <si>
    <t>Het Actueel Hoogtebestand Nederland (AHN) is een hoogtebestand vervaardigd door middel van laseraltimetrie. Het AHN3 0,5 meter DTM (maaiveldraster), is bedoeld als maaiveldbestand, waarbij alle punten geclassificeerd als "maaiveld" tot een 0,5 meter raster zijn herbemonsterd op basis van een Squared IDW methode. Punten geclassificeerd in een andere klasse (niet-maaiveld objecten als bomen, gebouwen, bruggen, water en andere objecten) zijn niet gebruikt in de herbemonstering. Er zijn geen verdere bewerkingen uitgevoerd.
Meer informatie vindt u op www.ahn.nl.</t>
  </si>
  <si>
    <t>Het Actueel Hoogtebestand Nederland (AHN) is een hoogtebestand vervaardigd door middel van laseraltimetrie. Het AHN3 0,5 meter DSM, is bedoeld als ruw bestand, waarbij alle punten behalve die geclassificeerd als "water" tot een 0,5 meter raster zijn herbemonsterd op basis van een Squared IDW methode. Er zijn geen verdere bewerkingen uitgevoerd.
Meer informatie vindt u op www.ahn.nl.</t>
  </si>
  <si>
    <t>Onderzoek naar alle autoverkeer, waarbij onderscheid is gemaakt tussen personenauto’s en bedrijfsvoertuigen. Onderwerpen zijn herkomsten, bestemmingen, voorkeuren, motieven, percentages van verkeer in Flevoland.</t>
  </si>
  <si>
    <t>Berekende trendwaarden horizontale positie kustlijn ten opzicht van de Basiskustlijn voor het jaar 2008.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</si>
  <si>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Berekende trendwaarden horizontale positie kustlijn ten opzicht van de Basiskustlijn voor het jaar 2007.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</si>
  <si>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Berekende trendwaarden horizontale positie kustlijn ten opzicht van de Basiskustlijn voor het jaar 2006.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</si>
  <si>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Overzicht van de vlieglijnen van de platen van de Westerschelde 2013
Verklaring van de attributen:
VLIEGDATUM = datum van opname</t>
  </si>
  <si>
    <t>Laser Oosterschelde2013 - Vlieglijnen (shape) - Oosterschelde. De data is verkregen middels laseraltimetrie. De inwinning vindt meerjarig plaats ten behoeve van het handhaven van de basiskustlijn van de gehele Nederlandse Kust.</t>
  </si>
  <si>
    <t>Laser Westerschelde 2013 - 2m gefilterd grid van de Westerschelde. De data is verkregen middels laseraltimetrie. De inwinning vindt meerjarig plaats ten behoeve van het handhaven van de basiskustlijn van de gehele Nederlandse Kust.
Voor verdere informatie zie kwaliteitsdocument</t>
  </si>
  <si>
    <t>Laser Oosterschelde2013 - 2m gefilterd grid per Top10 kaartblad - Oosterschelde. De data is verkregen middels laseraltimetrie. De inwinning vindt meerjarig plaats ten behoeve van het handhaven van de basiskustlijn van de gehele Nederlandse Kust.
Voor verdere informatie zie kwaliteitsdocument</t>
  </si>
  <si>
    <t>informatiepuntwvl@rws.nl</t>
  </si>
  <si>
    <t>In de respons op de enquête meldt 79 % van de scholen een bouwjaar van vóór 1994. Van deze scholen zegt 40 % dat ooit een asbestinventarisatie is uitgevoerd en bijna de helft daarvan was recent (minder dan twee jaar geleden). Bij 81 % van de geïnventariseerde scholen is asbest aangetroffen. In 37 % werd geadviseerd om direct (een deel van) het aangetroffen asbest te verwijderen. In 58 % van de gevallen is daaraan gehoor gegeven. Begin 2011 verzuimde een school in Amsterdam om asbest te inventariseren, waardoor kinderen en leerkrachten werden blootgesteld aan asbestvezels. In de TK is toen besloten dat we alle scholen vragen om hun gebouwen op asbest te inventariseren, ook als geen sprake is van sloop-, verbouwings- of renovatiewerkzaamheden</t>
  </si>
  <si>
    <t>Orthofotomozaiek van Ijsselmeer vervaardigd uit stereoluchtfoto opnamen verworven  22-4/25-4 2011, 1-5-2011, 3-6-2011 ter ondersteuning van het biologische monitoringsprogramma Ecotopenkarteringen in opdracht van de Waterdienst.</t>
  </si>
  <si>
    <t>Orthofotomozaiek van Vlieland, vervaardigd uit stereoluchtfotos. Opnamen op 23.08.2009 ter ondersteuning van VEGWAD monitoringsprogramma in opdracht  van de Waterdienst.</t>
  </si>
  <si>
    <t>Orthofotomozaiek van Terschelling Noordvaarder en Groene strand, vervaardigd uit stereoluchtfotos. Opnamen op 23.08.2009 ter ondersteuning van  VEGWAD monitoringsprogramma in opdracht  van de Waterdienst.</t>
  </si>
  <si>
    <t>Orthofotomozaiek van het gebied Westerschelde vervaardigd uit stereoluchtfoto-opnamen op 15.07.2013 ter ondersteuning van het Vegwad monitoringsprogramma in opdracht van de Waterdienst.</t>
  </si>
  <si>
    <t>De locaties waarvandaan vanuit een helikopter foto's zijn gemaakt van de oevers van de rivieren in het beheergebied van Rijkswaterstaat Zuid-Holland.</t>
  </si>
  <si>
    <t>Orthofotomozaiek van Westerschelde vervaardigd uit stereoluchtfoto opnamen op 05/07/2011 ter ondersteuning van  Geomorphology monitoringsprgramma in opdracht van de Waterdienst.</t>
  </si>
  <si>
    <t>Overzicht van de vlieglijnen van de platen van de Westerschelde 2010
Verklaring van de attributen:
VLIEGDATUM = datum van opname</t>
  </si>
  <si>
    <t>Hoogtemodel van de kust in de vorm van een grid met een resolutie van 5 meter waarbij de hoogtewaarde is opgenomen in meters. Delen van de zandige kust van Nederland worden elk jaar in hoogte vastgelegd t.b.v. het vervaardigen van strandprofielen t.b.v. monitoring kustlijn.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
Laseraltimetrie hoogtegegevens volgens RWS voorschriften ingewonnen. 
Voor gedetailleerde informatie zie bijgevoegd kwaliteitsdocument</t>
  </si>
  <si>
    <t>Laseraltimetrieopname van droogvallend gebied in de Waddenzee 2012
Gebied ten noorden van het Lauwersmeer
Gridbestanden met een pixelgrootte van 5m</t>
  </si>
  <si>
    <t>Excelbestand op postcode4-niveau van herkomsten, bestemmingen, voorkeuren, motieven, percentages van goederenvervoer in Randstad.</t>
  </si>
  <si>
    <t>Overzicht van de vlieglijnen van de kribben van de Waal in 2010
Verklaring van de attributen:
VLIEGDATUM = datum van opname</t>
  </si>
  <si>
    <t>Laseraltimetrie opname rivieroevers Waal 2012 in de vorm van een grid met een resolutie van 0,5 meter waarbij de hoogtewaarde is opgenomen in centimeters .
Voor verdere informatie zie kwaliteitsdocument.</t>
  </si>
  <si>
    <t>Orthofotomozaiek van het gebied Vegwad Friesche_Groningse_Kust vervaardigd uit stereoluchtfoto-opnamen op 23.07.2014 ter ondersteuning van het Vegwad monitoringsprogramma in opdracht van de Waterdienst.</t>
  </si>
  <si>
    <t>Orthofotomozaiek van het gebied Vegwad Ameland vervaardigd uit stereoluchtfoto-opnamen op 23.07.2014 ter ondersteuning van het Vegwad monitoringsprogramma in opdracht van de Waterdienst.</t>
  </si>
  <si>
    <t>Symbolen voor het in kaart brengen van vaarrichtingen en ankergebieden voor het verkeersscheidingsstelsel op de Noordzee</t>
  </si>
  <si>
    <t>Routeringsysteem waarbinnen vaarrichtingen voor de scheepvaart worden aanbevolen op de Noordzee</t>
  </si>
  <si>
    <t>separatiezones binnen het routeingsysteem van het verkeersscheidingsstelsel op de Noordzee</t>
  </si>
  <si>
    <t>Indeling van de vaargeul in lodingsvakken</t>
  </si>
  <si>
    <t>Het bestand bevat de kilometerpunten op de as van de vaargeulen op het Nederlands Continentaal Plat.</t>
  </si>
  <si>
    <t>Ankergebieden op Noordzee. Alle vastgestelde ankergebieden op de Noordzee, inclusief ankergebieden nabij vaargeul en ankergebieden voor Nederlandse havens.</t>
  </si>
  <si>
    <t>Aanloopgebieden nautisch beheerder langs de Nederlandse kust binnen de 12 nautisch mijl.</t>
  </si>
  <si>
    <t>Orthofotomozaiek Eroderende Maasoevers Falsecolour 2010 vervaardigd uit stereoluchtfoto opnamen op 20, 22; 28 Mei 2010 ter ondersteuning van  Fotolucht Eroderende Maasoevers monitoringsprgramma in opdracht van de Waterdienst.</t>
  </si>
  <si>
    <t>Laseraltimetrie opname rivierkribben Zuid-Holland in de vorm van een grid met een resolutie van 1,0 meter waarbij de hoogtewaarde is opgenomen in meters Voor verdere informatie zie kwaliteitsdocument.</t>
  </si>
  <si>
    <t>Laseraltimetrie opname kribben Waal in de vorm van een grid met een resolutie van 0,5 meter waarbij de hoogtewaarde is opgenomen in meters  
Voor verdere informatie zie kwaliteitsdocument.</t>
  </si>
  <si>
    <t>Verzamelpagina met bestanden van telresultaten vervoer gevaarlijke stoffen per geteld wegvak per provincie.</t>
  </si>
  <si>
    <t>Documenten in relatie tot de jaarintensiteit van het vervoer van gevaarlijke stoffen (VGS) op het hoofdwegennet.</t>
  </si>
  <si>
    <t>De dataset BPS_stroken bevat vlakken die volgens de BPS systematiek zijn gecodeerd. 
BPS_stroken is een verder opdeling van de verhardingsvlakken uit de dataset BPS_banen.
De vlakken in beide datasets worden door de Kerngis selectietool gebruikt voor het maken van selecties en/of analyses op Kerngis data. 
De Beschrijvende Plaatsaanduiding Systematiek (BPS) is een eenduidige manier om de plaats van een object op of nabij wegen te beschrijven.
Toelichting op de aanduiding BPS: Binnen BPS zijn op elkaar afgestemde afspraken gemaakt. Bijvoorbeeld over de opdeling van de weg in 'wegdelen' en over het gebruik van permanent zichtbare kenmerken op of langs de weg. Hiermee kunt u elke plaats op de weg beschrijven. BPS geeft ook aanwijzingen over de manier waarop u de benodigde gegevens kunt verzamelen en hoe u deze noteert.
De afspraken en de aanwijzingen zorgen ervoor dat de beschrijving uniek wordt. Hierdoor weet iedereen die BPS kent, precies welke plaats bedoeld wordt.</t>
  </si>
  <si>
    <t>De dataset BPS_banen bevat vlakken die volgens de BPS systematiek zijn gecodeerd. 
Er wordt een (hoofd)onderscheid gemaakt in verhardingen (hoofdrijbaan, verbindingsweg enz.) en bermen (gras ed.).
De verhardingsvlakken worden verder opgedeeld in de dataset BPS_stroken.
De vlakken in beide datasets worden door de Kerngis selectietool gebruikt voor het maken van selecties en/of analyses op Kerngis data. 
De Beschrijvende Plaatsaanduiding Systematiek (BPS) is een eenduidige manier om de plaats van een object op of nabij wegen te beschrijven.
Toelichting op de aanduiding BPS: Binnen BPS zijn op elkaar afgestemde afspraken gemaakt. Bijvoorbeeld over de opdeling van de weg in 'wegdelen' en over het gebruik van permanent zichtbare kenmerken op of langs de weg. Hiermee kunt u elke plaats op de weg beschrijven. BPS geeft ook aanwijzingen over de manier waarop u de benodigde gegevens kunt verzamelen en hoe u deze noteert.
De afspraken en de aanwijzingen zorgen ervoor dat de beschrijving uniek wordt. Hierdoor weet iedereen die BPS kent, precies welke plaats bedoeld wordt.</t>
  </si>
  <si>
    <t>De dataset bevat de pijpleidingen binnen en buiten het NCP, behalve de leidingen op het Britse Continentaal Plat. Hieronder vallen de toekomstige, in gebruik zijnde en de verlaten pijpleidingen. Op pijpleidingen binnen het NCP worden actief beheerd.</t>
  </si>
  <si>
    <t>Bestand met elektra en telecom kabels die op de Noordzee gelegen zjin, waarbij de focus op het NCP gericht is. Informatie buiten het NCP is alleen te gebruiken als achtergrondlaag. Bij laatste revisie zijn een aantal kabels aangepast op basis van informatie van de providers, waarbij nu bij de aangepaste kabels ook de lussen (uitbijters) zijn opgenomen.</t>
  </si>
  <si>
    <t>Laseraltimetrie hoogtegegevens ingewonnen volgens RWS-voorschriften.
Opname van de droogvallende platen ten tijde van laagwaterperiode.
Cellsize 5x5 meter</t>
  </si>
  <si>
    <t>Deze dataset is een, sinds 1980 in Oost-Nederland, ontstane aanvulling op de locaties en (statistische) gegevens van het basismeetnet actuele verkeersgegevens (BI-meetnet). De gegevens worden maandelijks gepubliceerd. Zij vormen samen de "ijkpunten" voor de verkeersintensiteiten. Oost Nederland heeft rond de 30 DINAF telpunten, veelal op N-wegen. Het werkdagjaargemiddelde (de gemiddelde intensiteit op een wegvak gedurende alle werkdagen van een jaar) is één van de vaste waarden.</t>
  </si>
  <si>
    <t>Voorspelde waterstanden en andere water gerelateerde metingen. 10-minuten interval.</t>
  </si>
  <si>
    <t>Actuele waterstanden en andere water gerelateerde metingen. Metingen gemiddeld over 10 minuten (gemiddelde van 5 minuten voor tot 5 minuten na de volgende tijdstippen 00, 10, 20, 30, 40, 50). In een apart .ADM bestand staat de meta-informatie.</t>
  </si>
  <si>
    <t>Overzicht van de vlieglijnen van kribhoogten van de rivieren
Verklaring van de attributen:
vliegdatum = datum van opname</t>
  </si>
  <si>
    <t>Orthofotomozaiek van Punt van Reide vervaardigd uit stereoluchtfoto opnamen op 27/08/2012 ter ondersteuning van  Vegwad monitoringsprgramma in opdracht van de Waterdienst.</t>
  </si>
  <si>
    <t>Orthofotomozaiek van Griend vervaardigd uit stereoluchtfoto opnamen op 27/08/2012 ter ondersteuning van  Vegwad monitoringsprgramma in opdracht van de Waterdienst.</t>
  </si>
  <si>
    <t>Orthofotomozaiek van Dollard vervaardigd uit stereoluchtfoto opnamen op 27/08/2012 ter ondersteuning van  Vegwad monitoringsprgramma in opdracht van de Waterdienst.</t>
  </si>
  <si>
    <t>Orthofotomozaiek van Boschplaat Terschelling vervaardigd uit stereoluchtfoto opnamen op 27/08/2012 ter ondersteuning van  Vegwad monitoringsprgramma in opdracht van de Waterdienst.</t>
  </si>
  <si>
    <t>Overzicht van de kunstwerken in beheer bij RWS in shape formaat. Per kunstwerk zijn diversen vaste en variabele gegevens opgenomen. Tevens zijn de kwaliteits-gegevens (eindoordeel per kunstwerk) van de laatst uitgevoerde inspectie vermeld.</t>
  </si>
  <si>
    <t>De shapefile bevat hyperlinks die verwijzen naar de helicopter luchtfoto's die gemaakt zijn op 27 juni 2011. De volgende locaties zijn hierbij gefotografeerd: 
A2 Het Groene Woud
A2 Randweg Eindhoven
A2 Rondweg Den Bosch (Trace Vught)
A4 Steenbergen
59 Den Bosch - Waalwijk
Zuid Willemsvaart Den Bosch</t>
  </si>
  <si>
    <t>Uitsnede uit dataset Waterstaatskundige Beheergrens (Grenslijnen van beheergebieden Rijkswaterstaat op grond van de Waterwet voor het thema Waterstaatkundig beheer ingaande per 01-07-2014.)</t>
  </si>
  <si>
    <t>Uitsnede uit dataset Waterstaatskundige Beheergrens (Beheergebieden Rijkswaterstaat op grond van de Waterwet voor het thema vrijstelling vergunningplicht gebruik waterstaatswerken ingaande per 01-07-2014.)</t>
  </si>
  <si>
    <t>Mirt-gis 2016</t>
  </si>
  <si>
    <t>Laser Westerschelde 2014 - 2m gefilterd grid van de Westerschelde. De data is verkregen middels laseraltimetrie. De inwinning vindt meerjarig plaats ten behoeve van het handhaven van de basiskustlijn van de gehele Nederlandse Kust.
Voor verdere informatie zie kwaliteitsdocument</t>
  </si>
  <si>
    <t>Weergave middels geluidscontouren van de geluidsbelasting Lnight (nacht gemiddelde) in 2006 van de wegen die in beheer waren bij Rijkswaterstaat op 31-12-2006. Geeft alleen de huidige situatie in 2006 weer zonder toekomstprognoses berekend met het VenW Wegengeluidmodel Silence 3. Deze geluidscontouren zijn opgesteld in het kader van het project EU-Richtlijn Omgevingslawaai. Op 26 juni 2007 zijn de geluidscontouren vastgesteld door de Minister van Verkeer en Waterstaat. Wettelijk moeten deze geluidbelastingskaarten eenmaal in de vijf jaar worden ontwikkeld.</t>
  </si>
  <si>
    <t>Weergave middels geluidscontouren van de geluidsbelasting Lden (24-uurs gemiddelde) in 2006 van de wegen die in beheer waren bij Rijkswaterstaat op 31-12-2006. Geeft alleen de huidige situatie in 2006 weer zonder toekomstprognoses berekend met het VenW Wegengeluidmodel Silence 3. Deze geluidscontouren zijn opgesteld in het kader van het project EU-Richtlijn Omgevingslawaai. Op 26 juni 2007 zijn de geluidscontouren vastgesteld door de Minister van Verkeer en Waterstaat. Wettelijk moeten deze geluidbelastingskaarten eenmaal in de vijf jaar worden ontwikkeld.</t>
  </si>
  <si>
    <t>De shapefile bevat hyperlinks die verwijzen naar de helicopter luchtfoto's die gemaakt zijn op 26 april 2011. De volgende locaties zijn hierbij gefotografeerd: 
A2 Randweg Eindhoven
A2 Maas-Kerensheide
A2 Rondweg Den Bosch (Trace Vucht)
A4 Steenbergen
A74 Venlo
ZuidWillemsvaart (Den Bosch)
ZuidWillemsvaart (Weert)</t>
  </si>
  <si>
    <t>De shapefile bevat hyperlinks die verwijzen naar de helicopter luchtfoto's die gemaakt zijn op 26 april 2010. De volgende locaties zijn hierbij gefotografeerd: A2 Den Bosch - Zaltbommel, A2 Het Groene Woud, A2 Kerensheide-Eijsden, A2 Maas-Kerensheide, A2 randweg Eindhoven, A2 rondweg Den Bosch, A2 Weert-Maas, A65 Vught - Tilburg, A74 Venlo, Maas bij Venlo, Zuidwillemsvaart.</t>
  </si>
  <si>
    <t>Mirt-gis 2015</t>
  </si>
  <si>
    <t>Verzamelpagina van alle bestanden over deelprogramma's en kennis van het Deltaprogramma.</t>
  </si>
  <si>
    <t>Video's van geluidschermen die in opdracht van de afdeling gegevensbeheer van het district Midden-Nederland-Zuid zijn gemaakt (2013)</t>
  </si>
  <si>
    <t>In opdracht van de afdeling gegevensbeheer van het district MN-Zuid zijn video's en foto's gemaakt van de geluidschermen in beheer bij RWS MN-Zuid</t>
  </si>
  <si>
    <t>Geeft een overzicht van de vaarwegen in Nederland.
Voor detail: zie legenda</t>
  </si>
  <si>
    <t>Orthofotomozaiek Eroderende Massoevers Falsecolour 2011 vervaardigd uit stereoluchtfoto opnamen op 25/05/2011 ter ondersteuning van  Fotolucht Eroderende Maasoevers monitoringsprgramma in opdracht van de Waterdienst.</t>
  </si>
  <si>
    <t>Symbolen voor het in kaart brengen van vaarrichtingen en ankergebieden voor het verkeersscheidingsstelsel op de Noordzee tot 1-8-2013.</t>
  </si>
  <si>
    <t>Routeringsysteem waarbinnen vaarrichtingen voor de scheepvaart worden aanbevolen op de Noordzee tot 1-8-2013.</t>
  </si>
  <si>
    <t>separatiezones binnen het routeingsysteem van het verkeersscheidingsstelsel op de Noordzee tot 1-8-2013.</t>
  </si>
  <si>
    <t>Het bestand bevat de kilometerpunten op de as van de vaargeulen op het Nederlands Continentaal Plat tot 1-8-2013.</t>
  </si>
  <si>
    <t>Restrictiegebieden waarin geen mijnbouw of windturbineparken activiteiten op het Nederlands Continentaal Plat plaats mogen vinden, zoals deze is gepubliceerd in de staatscourant van 19 december 2002. Refererend aan document van 16 december 2002 / nr. WJZ 02063603. Geldig tot 1-8-2013.</t>
  </si>
  <si>
    <t>Ankergebieden op Noordzee. Alle vastgestelde ankergebieden op de Noordzee, inclusief ankergebieden nabij vaargeul en ankergebieden voor Nederlandse havens geldig tot 1-8-2013.</t>
  </si>
  <si>
    <t>Orthofotomozaiek van Slufter-Voorne vervaardigd uit stereoluchtfoto opnamen op 24 en 25/07/2012 ter ondersteuning van  Vegwad monitoringsprgramma in opdracht van de Waterdienst.</t>
  </si>
  <si>
    <t>Orthofotomozaiek van Rijn-Maasmonding  vervaardigd uit stereoluchtfoto opnamen op 25/07/2012 ter ondersteuning van  Ecotopen monitoringsprgramma in opdracht van de Waterdienst.</t>
  </si>
  <si>
    <t>Orthofotomozaiek van Kwade-Hoek vervaardigd uit stereoluchtfoto opnamen op 24 en 25/07/2012 ter ondersteuning van  Vegwad monitoringsprgramma in opdracht van de Waterdienst.</t>
  </si>
  <si>
    <t>Landelijk Meetnet Water (LMW) is een voorziening die verantwoordelijk is voor de inwinning, opslag en distributie van waterbeheergegevens. Via meer dan 400 meetpunten wordt data ingewonnen, verwerkt en opgeslagen in het rekencentrum. De gegevens worden vervolgens geleverd aan klanten.</t>
  </si>
  <si>
    <t>Orthofotomozaiek van de Westerschelde, vervaardigd uit digitale stereoluchtfoto opnamen. Het westelijk deel van de Westerschelde is gevlogen op 25 juli 2008, het oostelijk deel op 18 september 2008, in opdracht van Dienst Zeeland (DZL) ten behoeve van de Geomorfologie.</t>
  </si>
  <si>
    <t>Orthofotmozaiek van Ameland vervaardigd uit stereo opnamen op 10-10-2008 ter ondersteuning van het VEGWAD monitoring programma in opdracht van de Waterdienst</t>
  </si>
  <si>
    <t>Puntlokaties van helicopterfoto's zoals gevlogen in februari 2009</t>
  </si>
  <si>
    <t>Overzicht van de ligging van publicabele NAP-peilmerken in Nederland. Voor elke peilmerk is naast de NAP-hoogte onder andere de meetdatum, een omschrijving van de locatie en de X- en Y-coördinaat van het merk in het Rijksdriehoekstelsel (RD) gegeven.</t>
  </si>
  <si>
    <t>VILD is een basisbestand met gedetailleerde locatiegegevens over de Nederlandse A- en N-wegen. De locatiebeschrijving volgt een CEN-standaard en bevat lijn-, punt- en gebiedsgegevens die van essentieel belang zijn voor het verstrekken van verkeersinformatie. In het basisbestand zijn dan ook herkenningspunten voor weggebruikers opgenomen zoals brugnamen, parkeerplaatsen, benzinestations, afritnummers, aansluitpunten en hectometrering. Al deze punten hebben ten behoeve van RDS/TMC-meldingen een unieke TMC-codering.</t>
  </si>
  <si>
    <t>De dataset bevat gebieden die door Meet en Informatie Noordzee worden opgenomen, sonar en multibeam, ten behoeve van monitoring van zeebodem</t>
  </si>
  <si>
    <t>Offici‰le waterbeheergrens tussen RWS Noordzee en de kust RD?s.
Dit bestand begrenst het gebied waar RWS Noordzee waterbeheer heeft.
Het bevoegd gezag van RWS Noordzee m.b.t. de Wvo en de Wvz is gekoppeld aan de
waterbeheergrens. Beide wetten zijn sinds 22 december 2009 opgegaan in de Waterwet en vallen onder waterkwaliteitsbeheer. Daarnaast bepaalt de waterbeheergrens in BKN en NIS dashboard het aantal km2 water dat in beheer is van RWS Noordzee.
De waterbeheergrens tussen RWS Noordzee en de andere kust RD?s is als volgt
omschreven:
- langs de kust wordt de duinvoetlijn cq. buitenkruinlijn aangehouden
conform de Waterwet
- bij havenmonden loopt de grens volgens een rechte lijn tussen de lichten
op de koppen van de havenhoofden
- in de zeegaten (zonder havenmond) worden de rechte basislijnen
aangehouden zoals vastgelegd in de Wet Grenzen Territoriale Zee
- in zeegaten waar geen rechte basislijn beschikbaar is wordt een rechte lijn
aangehouden zodanig gekozen dat zoveel mogelijk de doorgaande kustlijn
wordt aangehouden (bijv. De Kerf en De Slufter)
- het Eems Dollard Verdrag gebied valt geheel onder beheer van RWS
Noord Nederland
- het gebied tussen de 3 en 12 mijl ten noorden van het EDV gebied (NL
claim) valt geheel onder beheer van RWS Noordzee
De waterbeheergrens tussen RWS Noordzee en de kust RD?s wordt aangepast als
een of meerdere onderdelen van de bovenstaande beschrijving wijzigen.</t>
  </si>
  <si>
    <t>De vaargeulen zoals beheerd door Rijkswaterstaat West-Nederland Zuid.</t>
  </si>
  <si>
    <t>Calamiteitenvlucht   Lek en Nederrijn
Bestemmingsplangebied  2011
Laseraltimetrie opname in de vorm van een grid met een resolutie van 0,5 meter waarbij de hoogtewaarde is opgenomen in centimeters .
Vluchtdatum:   28 november 2011
Zie ook het geleverde  kwaliteitsdocument</t>
  </si>
  <si>
    <t>Op verzoek van de Tweede Kamer wordt een onderzoek uitgevoerd naar de aanwezigheid van asbest in alle Nederlandse ziekenhuizen gebouwd voor 1 januari 1994. Deze informatie is op nationaal niveau niet bekend. Het is belangrijk om dat inzicht te krijgen omdat de aanwezigheid van asbest in een ziekenhuisgebouw gezondheidsrisico's voor de gebruikers met zich mee kan brengen. 
Ziekenhuizen zijn niet in alle gevallen op de hoogte van de aanwezigheid van asbest in een ziekenhuisgebouw. In veel gevallen weten de ziekenhuisbesturen wel of er asbest in een ziekenhuisgebouw aanwezig is. Sinds 1994 zijn veel asbestinventarisaties uitgevoerd en waar nodig zijn al asbestsaneringen gedaan. Het is echter niet duidelijk of de asbestinventarisaties uit het verleden voldoen aan de eisen van 2012.</t>
  </si>
  <si>
    <t>Puntlokaties van helicopterfoto's zoals gevlogen in april 2008</t>
  </si>
  <si>
    <t>Opnamelocaties van helicopterfoto's van een deel van de rijkswegen in Noord-Brabant. Opnames zijn van augustus, september en oktober 2007 en februari 2008 en betreffen de A2, A4, A16, A58, A59 en A65. Bestand bevat een link naar de foto's.</t>
  </si>
  <si>
    <t>Deze pagina geeft informatie over de het Astronomisch getij in 2015 voor verschillende locaties.</t>
  </si>
  <si>
    <t>Deze pagina geeft informatie over de  verwachtingen voor het gebied de Waddenzee. Het gaat hierbij om informatie over wind en golven.</t>
  </si>
  <si>
    <t>Deze pagina geeft informatie over de  verwachtingen voor het gebied  Hollandse Kust. Het gaat hierbij om informatie over wind en golven.</t>
  </si>
  <si>
    <t>Met behulp van deze service van het Hydro Meteo Centrum Zeeland kunt u tijdreeksen uit de WTZ-database downloaden.  De gebruiker selecteert in de tabel bij de gewenste parametersoort een jaar en kan deze vervolgens opvragen. Deze worden gestuurd naar het ingevulde email-adres.</t>
  </si>
  <si>
    <t>Documenten met geactualiseerde inkoopplanning met een overzicht van de voorgenomen werkzaamheden.</t>
  </si>
  <si>
    <t>Documenten over de data eisen van onderhoudsmanagementsysteem Ultimo per releasedatum gebundeld.</t>
  </si>
  <si>
    <t>Documenten over de data eisen van Primaire Meetkundige Grondslag per releasedatum gebundeld.</t>
  </si>
  <si>
    <t>Documenten over de data eisen van Nul Digitaal Terrein Model per releasedatum gebundeld.</t>
  </si>
  <si>
    <t>Documenten over de data eisen van Kerngis Droog en Beheerkaart Nat per releasedatum gebundeld.</t>
  </si>
  <si>
    <t>Documenten over de data eisen van het Digitaal Topografisch Bestand per releasedatum gebundeld.</t>
  </si>
  <si>
    <t>Documenten over de data eisen van deformatiemetingen kunstwerken per releasedatum gebundeld.</t>
  </si>
  <si>
    <t>Documenten over de data eisen van CAD bestanden en tekeningen per releasedatum gebundeld.</t>
  </si>
  <si>
    <t>Documenten over de data eisen van areaalgegevens per releasedatum gebundeld.</t>
  </si>
  <si>
    <t>lke wegtunnel in Nederland die langer is dan 250 m heeft een tunnelbeheerder en een veiligheidsbeambte. Deze website geeft informatie over de taken en regels van dit bureau</t>
  </si>
  <si>
    <t>Overzicht ligging bladen van het DTB.</t>
  </si>
  <si>
    <t>Laseraltimetrie opname van de rivieroevers van de Waal opgenomen
tijdens laagwater periode. De data is ingewonnen op 17 oktober 2010.
Voor verdere informatie zie beschrijvende documentatie.</t>
  </si>
  <si>
    <t>Orthofotomozaiek van het gebied Eroderende Maasoevers vervaardigd uit stereoluchtfoto-opnamen op 16.05.2014 ter ondersteuning van het Maas monitoringsprogramma in opdracht van de Waterdienst.</t>
  </si>
  <si>
    <t>Vlakvormige wegmeubilair objecten, zoals rimob's, om obstakels te beschermen voor aanrijschade van het verkeer.</t>
  </si>
  <si>
    <t>- Aan verharding gekoppelde open regenwater verzamel- en afvoerconstructie. 
- Watergangen voor de afwatering en/of ontwatering van het omringende gebied, die afwatert op een sloot en meestal droog staat.
- Watergangen voor de waterbeheersing van percelen, die daartoe in verbinding staat met andere watergangen.</t>
  </si>
  <si>
    <t>Een terrein van Rijkswaterstaat zonder rechtstreeks verband met de wegfunctie.</t>
  </si>
  <si>
    <t>Een gebouw met technische installaties van Rijkswaterstaat zonder rechtstreeks verband met de wegfunctie.</t>
  </si>
  <si>
    <t>Objecten op of langs de weg, die een directe relatie met de weg hebben. Zoals aankondigingsborden, drip's, matrixborden, praatpalen, slagbomen, verkeerslichten, verkeersborden, wegwijzers.</t>
  </si>
  <si>
    <t>Putten en kolken.</t>
  </si>
  <si>
    <t>Voorzieningen die niet direct aan de wegfunctie gekoppeld zijn, zoals vuilnisbakken, banken, reclameborden, ornamenten en telefooncellen.</t>
  </si>
  <si>
    <t>Op het wegdek aangebrachte punten, met het doel het verkeer op een eenduidige en veilige manier af te wikkelen.</t>
  </si>
  <si>
    <t>Inspectieputten, meerpalen, meerstoelen, palen, pijlers</t>
  </si>
  <si>
    <t>Op het wegdek aangebrachte vlakken, met het doel het verkeer op een eenduidige en veilige manier af te wikkelen.</t>
  </si>
  <si>
    <t>Draagconstructies, bovengrondse hoogspanningskabels, portalen, schanskorven, schrikhekken, verblindingsweringen en verkeerssignaleringen.</t>
  </si>
  <si>
    <t>Lijnverlichting: mast, waaraan één of meerdere lamparmaturen ter verlichting van de rijbanen zijn bevestigd.</t>
  </si>
  <si>
    <t>Grond of waterkerende constructies, geluidswerkende constructies, keermuren, duikers en voegovergangen.</t>
  </si>
  <si>
    <t>Informatie over in Nederland verspreide, meetmerken die samen het hoogte referentie vlak van Nederland vormen. Van iederpunt wordt indien aanwezig de locatie, actuele hoogte en historie gegeven. Gebruik om in te loggen als username: rws en password: nap. Om technische redenen is de historie nog niet direct online maar via de servicedesk van Rijkswaterstaat te verkrijgen.</t>
  </si>
  <si>
    <t>De shapefile bevat hyperlinks die verwijzen naar de helicopter luchtfoto's die gemaakt zijn op 22 mei 2013. De volgende locaties zijn hierbij gefotografeerd: A2 Het Groene Woud, A2 Einhoven - Den Bosch, A4 Steenbergen, Zuid Willemsvaart Den Bosch, Wilhelminakanaal.</t>
  </si>
  <si>
    <t>Restrictiegebieden waarin geen mijnbouw of windturbineparken activiteiten op het Nederlands Continentaal Plat plaats mogen vinden, zoals deze zijn opgenomen in de Mijnbouwregeling 2014. 
Gepubliceerd in Staatscourant nummer 4928, van 22 februari 2014. Regeling van de Minister van Economische Zaken van 13 februari 2014, nr. WJZ/13208613, tot wijziging van de Mijnbouwregeling. 
Bronvermelding: Ministerie van Infrastructuur en Milieu, aanspreekpunt Rijkswaterstaat Zee en Delta
ETRS89, UTM zone 31 N</t>
  </si>
  <si>
    <t>De vegetatie in de uiterwaarden heeft invloed op de doorstroombaarheid van de uiterwaarden. Verruwing van de vegetatie kan onder maatgevende omstandigeheden leiden tot opstuwing en hogere waterstanden.
Daarom geeft de vegetatielegger een norm voor de vegetatieruwheid in het stroomgebied van de Nederlandsche rivieren.
De informatie is gebaseerd op de luchtfoto-opnamen.
Deze Vegetatie-vlakkken-shape (polygonen) vormt samen met de Heggen (lijnobjecten)  en de bomen (puntobjecten) de beschrijving van de vegetatie in de uiterwaarden.</t>
  </si>
  <si>
    <t>De vegetatie in de uiterwaarden heeft invloed op de doorstroombaarheid van de uiterwaarden. Verruwing van de vegetatie kan onder maatgevende omstandigeheden leiden tot opstuwing en hogere waterstanden.
Daarom geeft de vegetatielegger een norm voor de vegetatieruwheid in het stroomgebied van de Nederlandsche rivieren.
De informatie is gebaseerd op de luchtfoto-opnamen.
Deze Heggen-shape  (lijnobjecten) vormt samen met de Vegetatie-vlakkken (polygonen) en de bomen (puntobjecten) de beschrijving van de vegetatie in de uiterwaarden.</t>
  </si>
  <si>
    <t>De vegetatie in de uiterwaarden heeft invloed op de doorstroombaarheid van de uiterwaarden. Verruwing van de vegetatie kan onder maatgevende omstandigeheden leiden tot opstuwing en hogere waterstanden.
Daarom geeft de vegetatielegger een norm voor de vegetatieruwheid in het stroomgebied van de Nederlandsche rivieren.
De informatie is gebaseerd op de luchtfoto-opnamen.
Deze bomen-shape (puntobjecten) vormt samen met de Vegetatie-vlakkken (polygonen) en de Heggen (lijnobjecten) de beschrijving van de vegetatie in de uiterwaarden.</t>
  </si>
  <si>
    <t>Personal Geodatabase met polders en dijken die aangelegd zijn in het kader van de Zuiderzeewerken</t>
  </si>
  <si>
    <t>Orthofotomozaiek van Texel en Noord Holland Kwelders,  vervaardigd uit stereoluchtfoto opnamen op 01/08/2011 ter ondersteuning van  Vegwad 2011 monitorings programma in opdracht van de Waterdienst.</t>
  </si>
  <si>
    <t>Orthofotomozaiek van Texel Kwelders en Slufter, vervaardigd uit stereoluchtfoto opnamen op 01/08/2011 en 02/09/2011 ter ondersteuning van vegwad 2011 monitorings programma in opdracht van de Waterdienst.</t>
  </si>
  <si>
    <t>MIRT Projectenboek voor het jaar 2011. 
http://mirt2011.mirtprojectenboek.nl/
LET OP: DE GETOONDE INFORMATIE IS ALLEEN GESCHIKT VOOR SCHAAL 1:500.000. BIJ INZOOMEN OP DE GEGEVENS KUNNEN AANZIENLIJKE AFWIJKINGEN ZICHTBAAR WORDEN TEN OPZICHTE VAN DE TOPOGRAFIE EN ANDERE KAARTLAGEN.</t>
  </si>
  <si>
    <t>GIS-bestand van Staande Mast Route in Nederland</t>
  </si>
  <si>
    <t>Contouren van projecten, bestekken en opdrachten die in uitvoering zijn.</t>
  </si>
  <si>
    <t>Aquaduct, brug, coupure, damwand, duiker, geluidswering, keermuur, landhoofd, onderdoorgang, overkluizing, sluis, tunnel, viaduct, etc</t>
  </si>
  <si>
    <t>Afwijkende beheersituatie t.o.v. (rijks)grens</t>
  </si>
  <si>
    <t>Op het wegdeel aangebrachte verharding.</t>
  </si>
  <si>
    <t>Mast, waaraan één of meerdere lamparmaturen ter verlichting van de rijbanen zijn bevestigd.</t>
  </si>
  <si>
    <t>Bord met rijkswegletter en nummer gevolgd door hectometrering.</t>
  </si>
  <si>
    <t>Alleenstaande bomen, of boomweide.</t>
  </si>
  <si>
    <t>Op het wegdek aangebrachte lijnen, met het doel het verkeer op een eenduidige en veilige manier af te wikkelen.</t>
  </si>
  <si>
    <t>Terreinafscheidingen, taludlijnen, doorgangen en faunapassages.</t>
  </si>
  <si>
    <t>Geleideconstructies t.b.v. het weren van voertuigen uit de berm bij gevaarlijke situaties.</t>
  </si>
  <si>
    <t>Vlakken groenbeheer</t>
  </si>
  <si>
    <t>Overzicht van de vlieglijnen van kust_2012
Verklaring van de attributen:
VLIEGDATUM = datum van opname
STROOKNAAM = naam van het desbetreffende vlieglijn
perceel= de kust is uitgevoerd in 2 gedeelten</t>
  </si>
  <si>
    <t>Vaarwegen Waddenzee</t>
  </si>
  <si>
    <t>De kartering 2008 is uitgevoerd voor 5 locaties: Koningssteen, Ooijen, Aijen, Bergen en Beugen. De Oude grenzenmethode is toegepast, waarbij de kartering 2009 het uitgangspunt is. 
De kartering is vervaardigd volgens de methodiek 3de cyclus Ecotopen. Aanpassingen voor het programma Natuurvriendelijke oevers Maas zijn beschreven in de toelichting "Monitoring vegetatiestructuur en oeverlijn Eroderende oevers Maas 2008/2009". Voor de kartering is de fotovlucht, opgenomen d.d. 26 spetember 2008 en 20 oktober 2008  (RGB-kleuren), gebruikt. Er is gevlogen op schaal 1:10.000 met een grondresolutie van 12 cm. In de Ecotopenvlucht 2008 is een fout in de geometrie geconstateerd varierend tussen 1m en 3m. Om deze reden zijn alleen de genoemde locaties uitgewerkt. 
Naast de vegetatiestructuur is ook de 'bovenkant talud' en de 'bovenzijde erosierand' vastgelegd.</t>
  </si>
  <si>
    <t>Gebied op de Noordzee en Het Kanaal gebruikt voor het leggen en vegen van mijnen en militaire schietoefeningen met geschut zowel vanuit de kust als uit vliegtuigen (het omvat alle vlieggebieden, munitiegebieden, oefengebieden en schietterreinen)
Bronvermelding: Ministerie van Defensie
ETRS89, UTM zone 31 N</t>
  </si>
  <si>
    <t>Het Algemeen Dieptebestand IJsselmeergebied 2011 heeft als basis singlebeam overzichtslodingen aangevuld met vlakdekkende interferro en multibeam metingen en bevat de de meest recent bekende lodingsdata tot en met het desbetreffende jaar.</t>
  </si>
  <si>
    <t>Het Algemeen Dieptebestand IJsselmeergebied 2006 heeft als basis singlebeam overzichtslodingen aangevuld met vlakdekkende multibeam metingen en bevat de de meest recent bekende lodingsdata tot en met het desbetreffende jaar.</t>
  </si>
  <si>
    <t>Schelpdierwater_20081120.shp bevat de omgrenzing van de oppervlaktewaterlichamen die zijn aangewezen als Schelpdierwater ten behoeve van het Kaderrichtlijn water.</t>
  </si>
  <si>
    <t>Grenslijnen van beheergebieden Rijkswaterstaat op grond van de Waterwet voor het thema Waterstaatkundig beheer ingaande per 01-07-2016.</t>
  </si>
  <si>
    <t>Beheergebieden Rijkswaterstaat op grond van de Waterwet voor het thema vrijstelling vergunningplicht gebruik waterstaatswerken ingaande per 01-07-2016.</t>
  </si>
  <si>
    <t>Beheergebieden Rijkswaterstaat op grond van de Waterwet voor het thema drogere oevergebieden ingaande per 01-07-2016.</t>
  </si>
  <si>
    <t>Beheergebieden Rijkswaterstaat op grond van de Waterwet voor het thema beheer waterkwantiteit ingaande per 01-07-2016.</t>
  </si>
  <si>
    <t>Beheergebieden Rijkswaterstaat op grond van de Waterwet voor het thema beheer waterkwaliteit ingaande per 01-07-2016.</t>
  </si>
  <si>
    <t>De shapefile bevat hyperlinks die verwijzen naar de helicopter luchtfoto's die gemaakt zijn op 20 september 2010. De volgende locaties zijn hierbij gefotografeerd: 
A2_HetGroeneWoud
A2_Leenderheide-Limbgrens
A2_Randweg_Eindhoven
A2_Rondweg_denBosch
A4_Steenbergen
A58_Ekkersrijt-Oirschot
A58_Ekkersweijer-Ekkersrijt
A65_Vught-Tilburg
Geldrop
ZuidWillemsvaart</t>
  </si>
  <si>
    <t>Hoogtemodel van de platen in de Oosterschelde in de vorm van een grid met een resolutie van 2 meter waarbij de hoogtewaarde is opgenomen in meters.
De data is ingewonnen volgens RWS-voorschriften.
Opname van de droogvallende platen ten tijde van laagwater periode.
Voor verdere informatie zie kwaliteitsdocument</t>
  </si>
  <si>
    <t>Compilage van laatst gemeten diepte gegevens in een gebied in een jaar, tot een bepaalde maand. Bestaande uit diepte per vierkante meter als grid en maand van opname ter plaatse als shapefiles.</t>
  </si>
  <si>
    <t>rood</t>
  </si>
  <si>
    <t>Alle vastgestelde nautisch gegarandeeerde vaargeulen op het NCP naar Rotterdam en Amsterdam.</t>
  </si>
  <si>
    <t>De verhardingsbreedtes zijn ingetekend van de kunstwerken in de rijksweg en over de rijksweg. Voor de begrenzing van de verharding is gebruik gemaakt terreinafscheidingslijnen van de meest recente versie van het DTB die betrekking hebben op de harding. De ingetekende lijnen zijn gebruikt om voor iedere wegendistrict een kaart te maken, waarop de locaties waarbij de verhardingsbreedtes &lt; 10,2 meter specifiek zijn aangegeven.</t>
  </si>
  <si>
    <t>De shapefile bevat hyperlinks die verwijzen naar de helicopter luchtfoto's die gemaakt zijn op 20 februari 2012. De volgende locaties zijn hierbij gefotografeerd: 
A2 Het Groene Woud
A2 Einhoven - Den Bosch
A2 Rondweg Den Bosch (Trace Vught)
A4 Steenbergen
A59 Waalwijk
Spoortraverse 's-Hertogenbosch
Wilhelminakanaal Oirschot
Wilhelminakanaal Tilburg
Wilhelminakanaal Son
Zuid Willemsvaart Den Bosch</t>
  </si>
  <si>
    <t>Gebiedsschematisatie, de basis vormt van een hydraulische, waterkwaliteits- en/of ecologische model van het gebied Westerschelde.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</si>
  <si>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Waddenzee.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</si>
  <si>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Volkerak.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</si>
  <si>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RijnMaasMonding.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</si>
  <si>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Rijn.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</si>
  <si>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Oosterschelde.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</si>
  <si>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Zuidelijke Noordzee.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</si>
  <si>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Markermeer.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</si>
  <si>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Maas.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</si>
  <si>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Lauwersmeer.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</si>
  <si>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Kust.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</si>
  <si>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IJmond.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</si>
  <si>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Grevelingen.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</si>
  <si>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Eems-Dollard.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</si>
  <si>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Overzicht van verplaatsbare platforms of booreilanden op de Noordzee die ten behoeve van de winning of exploitatie van olie en gas worden gebruikt.</t>
  </si>
  <si>
    <t>in Figuur 3 geeft de pijl de richting van de benedenstroomse knoop. Dit betekent niet dat dit de enige mogelijke stromingsrichting is. Iedere tak heeft twee kenmerken:
- de capaciteit van de tak in bovenstroomse richting en 
- de capaciteit van de tak in benedenstroomse richting.</t>
  </si>
  <si>
    <t>Zaaknummer 31074371. 
Laseraltimetrie Wadden 2013
De data is verkregen middels laseraltimetrie. De inwinning vindt meerjarig plaats ten behoeve van het handhaven van de basiskustlijn van de gehele Nederlandse kust.
Gridbestanden met een pixelgrootte van 2m</t>
  </si>
  <si>
    <t>Zaaknummer 31074371. Laser Kust 2013 - Vlieglijnen (shape) - Waddenzee. De data is verkregen middels laseraltimetrie. De inwinning vindt meerjarig plaats ten behoeve van het handhaven van de basiskustlijn van de gehele Nederlandse Kust.</t>
  </si>
  <si>
    <t>Orthofotomozaiek Veerse Meer Falsecolour 2011 vervaardigd uit stereoluchtfoto opnamen op 25/05/2011 ter ondersteuning van  Ecotopen 2011 monitoringsprgramma in opdracht van de Waterdienst.</t>
  </si>
  <si>
    <t>Overzicht van de vlieglijnen van de platen van de Westerschelde 2011
Verklaring van de attributen:
VLIEGDATUM = datum van opname</t>
  </si>
  <si>
    <t>Orthofotomozaiek Grevelingen Meer Falsecolour 2011 vervaardigd uit stereoluchtfoto opnamen op 02/06/2011 ter ondersteuning van  Ecotopen 2011 monitoringsprgramma in opdracht van de Waterdienst.</t>
  </si>
  <si>
    <t>Laseraltimetrie hoogtegegevens ingewonnen volgens RWS-voorschriften
Opname van de droogvallende platen ten tijde van laagwater periode.
Gebied : Westerschelde
Gridbestanden met een pixelgrootte van 2 m</t>
  </si>
  <si>
    <t>De shapefile bevat hyperlinks die verwijzen naar de helicopter luchtfoto's die gemaakt zijn op 19 juli 2012. De volgende locaties zijn hierbij gefotografeerd: A2 Het Groene Woud, A2 Einhoven - Den Bosch, A4 Steenbergen, Zuid Willemsvaart Den Bosch, randweg Eindhoven, A59 Vlijmen, Wilhelminakanaal.</t>
  </si>
  <si>
    <t>Dataplatform NL</t>
  </si>
  <si>
    <t>opendata@utrecht.nl</t>
  </si>
  <si>
    <t>Openbare verlichting XLS</t>
  </si>
  <si>
    <t>2017-01-19</t>
  </si>
  <si>
    <t>Hernieuwbare energie XLS</t>
  </si>
  <si>
    <t>Downloadpagina met documenten van Standaard Voorschriften Chemie.</t>
  </si>
  <si>
    <t>Met de iCalendar-Getij-Wizard kan astronomische informatie (getijvoorspellingen) als dagitem aan een persoonlijke agenda toegevoegd worden.</t>
  </si>
  <si>
    <t>Globale beschrijving van de bodemopbouw vanaf 5m -NAP. Deze bodembeschrijving is gebasseerd op meer dan 7000 boringen die in de afgelopen deccenia zijn verricht. Per 1m dikte zijn de boringen naar een gebiedsdekkend raster (250m x 250m) vertaald m.b.v. Voronoi interpolatie en is bepaald welk bodemtype het meest voorkomt per diepte interval (bijvoorbeeld 5-10m -NAP). De onderscheidden diepteintervallen zijn weergegeven in de tabel. Per diepteinterval is het dominante bodemtype vermeld (zand, klei, veen, leem, keileem, gyttja, zavel of onbekend/overig). Waar zeefwaarden bekend waren, is bij de bodemsoort zand onderscheid gemaakt tussen fijn, middelgrof en grof zand (voor lagen dieper dan 15m -NAP). Detailinformatie over de bodemopbouw kan worden opgevraagd bij de Meet- en Informatiedienst van RWS IJsselmeergebied. De berekeningen zijn uitgevoerd door bureau Explostat, Almere.</t>
  </si>
  <si>
    <t>Deze omhullende van het DTB geeft aan binnen welk gebied het Digitaal Topografisch Bestand is ingewonnen.</t>
  </si>
  <si>
    <t>Hoogtemodel van project Noordwaard in de vorm van een grid met een resolutie van 2 meter waarbij de hoogtewaarde is opgenomen in meters.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2x2 meter gridcel wordt berekend uit meerdere laserpunten (het aantal is afhankelijk van de puntdichtheid van het basisbestand). Hierdoor neemt de invloed van de meetruis en uitschieters af en treedt er een lichte mate van vervlakking op. Voor verdere informatie zie kwaliteitsdocument</t>
  </si>
  <si>
    <t>Het bestand betreft de kaart IJsselmeer e.o., Dieptekaart vervaardigd naar opmetingen van de Dienst der Zuiderzeewerken. De stempel op de kaart meldt: Directie van de Wieringermeer, Noordoostpolderwerken, archief Arch. Afd., Form C5, stamboeknr. 117082. Op deze kaart is de Wieringermeer ingepolderd en zijn Noordoostpolder en afsluitdijk ingetekend. De kaart is daarom waarschijnlijk van ca. 1935. De scan is voorzien van georeferentie volgens Rijksdriehoekstelsel (RD). De oorspronkelijke analoge kaart is in bezit van de Rijksdienst voor het Cultureel Erfgoed.</t>
  </si>
  <si>
    <t>Totale bedekking waterplanten in het IJsselmeergebied. Per geinventariseerd gebied is de bedekking volgens de meest recente inventarisatie weergeven (voor zover beschikbaar). Laatste inventarisatiejaar in dit bestand is 2008.</t>
  </si>
  <si>
    <t>Een op een vaarweg aangesloten water dat (nog) niet in het netwerk is opgenomen, zoals b.v. grindputten, recreatieplassen of de locatie waar de beschrijving van de vaarweg wordt gestaakt, b.v. er ligt een zeer lage brug over de vaarweg.</t>
  </si>
  <si>
    <t>Laseraltimetrie opname kribben Rijntakken in de vorm van een grid met een resolutie van 0,5 meter waarbij de hoogtewaarde is opgenomen in meters
Opgenomen in de periode van 9-10-2008 t/m 31-1-2009.
Voor verdere informatie zie kwaliteitsdocument.</t>
  </si>
  <si>
    <t>Opnamelocaties van helicopterfoto's van een deel van de rijkswegen in Noord-Brabant. Opnames zijn van augustus 2007 en betreffen de A2, A4, A16, A58, A59 en A65. Bestand bevat een link naar de foto's.</t>
  </si>
  <si>
    <t>Historische meetgegevens betreffende de fysisch-chemische en chemische componenten in zwevend stof van de rijkswateren afkomstig uit DONAR. De resultaten zijn afkomstig uit het nationale meetprogramma Monitoring Waterstaatkundige Toestand des Lands (MWTL). Er worden veel verschillende parameters gemeten in het zwevende stof.  Afhankelijk van de soort meting en locatie wordt eenmaal per jaar tot dagelijks gemeten.  Dit onderdeel betreft de Fysisch-chemische en chemische componenten van het zwevend stof . Deze dataset vormt samen met de datasets Oppervlaktewater en Waterbodem de serie Waterkwaliteit - Chemisch.</t>
  </si>
  <si>
    <t>Overzicht van de projecten voor waterkwaliteit in het kader van Beheer- en Ontwikkelplan voor de Rijkswateren (BPRW). Het BPRW geldt voor de jaren 2010-2015. Daarbij kunt u denken aan Ruim baan voor vis, Schoon water en Herstel leefgebied en uitvoeren van primaire beheer van watersystemen</t>
  </si>
  <si>
    <t>Historische meetgegevens betreffende de fysisch-chemische en chemische componenten van het oppervlaktewater in de rijkswateren. De resultaten zijn afkomstig uit het nationale meetprogramma Monitoring Waterstaatkundige Toestand des Lands (MWTL). Er worden veel verschillende parameters gemeten in het oppervlaktewater. Afhankelijk van de soort meting en locatie wordt incidenteel, eenmaal per jaar tot dagelijks gemeten. Deze dataset vormt samen met de datasets Zwevend stof en Waterbodem de serie Waterkwaliteit - Chemisch.</t>
  </si>
  <si>
    <t>Historische meetgegevens betreffende Algen, Fytobentos, macrofauna. De resultaten zijn afkomstig van de landelijke monitoringsprogramma's van Rijkswaterstaat. Afhankelijk van de soort meting en locatie wordt eenmaal per jaar tot dagelijks gemeten..</t>
  </si>
  <si>
    <t>Historische meetgegevens betreffende de fysisch-chemische en chemische kwaliteit componenten van de Waterbodem van de rijkswateren opgeslagen in DONAR. De resultaten zijn afkomstig uit het nationale meetprogramma Monitoring Waterstaatkundige Toestand des Lands (MWTL). Er worden veel verschillende parameters gemeten in de waterbodem. Afhankelijk van de soort meting en locatie wordt incidenteel, eenmaal per jaar tot dagelijks gemeten. Deze dataset vormt samen met de datasets Oppervlaktewater en Zwevend stof de serie Waterkwaliteit - Chemisch.</t>
  </si>
  <si>
    <t>MIRT Projectenboek voor het jaar 2014.
http://mirt2014.mirtprojectenboek.nl/
LET OP: DE GETOONDE INFORMATIE IS ALLEEN GESCHIKT VOOR SCHAAL 1:500.000. BIJ INZOOMEN OP DE GEGEVENS KUNNEN AANZIENLIJKE AFWIJKINGEN ZICHTBAAR WORDEN TEN OPZICHTE VAN DE TOPOGRAFIE EN ANDERE KAARTLAGEN.
Als basis voor de MIRT-2014 lijnen bestanden is zoveel mogelijk gebruik gemaakt van het NWB-wegen, NWB-vaarwegen en NWB-spoorwegen. Begin- en eindpunt van de MIRT-2014 lijnen bestanden kunnen echter sterk afwijken van de werkelijke projectbegin- en eindpunten. Ook voor de MIRT-lijnen bestanden is de toepassingsschaal daarom 1: 500.000.
Er zijn MIRT-punten, -lijnen en -vlakken kaartlagen beschikbaar. Elk van deze kaartlagen is bovendien in 2 kleurvarianten aanwezig: 1 variant waarbij de kaartlagen zijn ingekleurd op basis van modaliteit (onder meer Hoofdwegen, Hoofdvaarwegen, Spoorwegen, Waterbeheren, Waterkeren, Integrale gebiedsopgaven) en 1 variant waarbij de kaartlagen zijn ingekleurd op basis van de fase waarin het MIRT-project verkeert (te weten Planstudie, Realisatie, Beheer en Onderhoud fase). De kaartlagen waarin "mirtnummer" voorkomt in de naam, bevatten het MIRTnummer zoals is toegekend door Staf DG van IenM.</t>
  </si>
  <si>
    <t>Puntlokaties van helicopterfoto's zoals gevlogen in augustus 2008</t>
  </si>
  <si>
    <t>Orthofotomozaiek van Westerschelde vervaardigd uit stereoluchtfoto opnamen van17/06/2015 ter ondersteuning van  Geomorphology monitoringsprgramma in opdracht van Rijkswaterstaat Water, Verkeer en Leefomgeving</t>
  </si>
  <si>
    <t>vergunningsgebied voor het (proefwinnen) van schelpen. Het betreft een strook van 50 km zeewaarts gerekend vanaf de kustlijn GLLWS, exclusief de voordelta en een strook gevormd door LLWS-5m tot de kustlijn van Hoek van Holland tot aan Petten enn een strook gevormd door de 3 mijls-grens van Petten tot Ameland.</t>
  </si>
  <si>
    <t>wordt nog nader ingevuld</t>
  </si>
  <si>
    <t>https://www.rijkswaterstaat.nl/contact/index.aspx</t>
  </si>
  <si>
    <t>Diverse bestanden aanleginrichtingen Waddenzee. Omschrijving: Bestanden rondom de aanleginrichtingen Waddenzee: bodembescherming, bushokjes, funderingen, meterkasten, nautische bebording, palen en masten, strooioppervlakten en verkeersstromen.</t>
  </si>
  <si>
    <t>Overzicht van de vlieglijnen van kust2_2012
Gebied: "zandmotor" (gedeelte van de kust van Zuid-Holland)
Verklaring van de attributen:
VLIEGDATUM = datum van opname</t>
  </si>
  <si>
    <t>Offici‰le bodembeheergrens tussen RWS Noordzee en de kust RD?s. Dit bestand begrenst het gebied waar RWS Noordzee bodembeheer heeft. Het bevoegd gezag van RWS Noordzee m.b.t. de natte Wbr zaken is gekoppeld aan de bodembeheergrens. De natte Wbr is sinds 22 december 2009 in de Waterwet als waterstaatkundig beheer opgenomen. Daarnaast bepaalt de bodembeheergrens in BKN en het NIS dashboard het aantal km2 bodem dat in beheer is van RWS Noordzee. De bodembeheergrens tussen RWS Noordzee en de andere kust RD?s is als volgt omschreven: - langs de kust wordt de buitenzijde van de gemeentegrenzen gevolgd - de gedeelten van de IJgeul en de Maasgeul die binnen de gemeentegrens vallen, behoren tot het bodembeheergebied van RWS Noordzee - ten noorden van de Waddeneilanden wordt een vereenvoudigde lijn van vastgestelde punten op de gemeentegrenzen toegepast waardoor een redelijk vloeiende lijn ontstaat. Ten noorden van deze lijn ligt het bodembeheergebied van RWS Noordzee, ten zuiden van deze lijn ligt het bodembeheergebied van RWS Noord Nederland - het Eems Dollard Verdrag gebied valt geheel onder beheer van RWS Noord Nederland - het gebied tussen de 3 en 12 mijl ten noorden van het EDV gebied (NL claim) valt geheel onder beheer van RWS Noordzee De bodembeheergrens tussen RWS Noordzee en de kust RD?s wordt aangepast als een of meerdere onderdelen van de bovenstaande beschrijving wijzigen.</t>
  </si>
  <si>
    <t>Laseraltimetrie opname van het gebied ten zuiden van Ameland in de Waddenzee
Het is een grid met een pixelsize van 5x5m</t>
  </si>
  <si>
    <t>Laseraltimetrie opname van het gebied ten zuiden van Vlieland in de Waddenzee
Het is een grid met een pixelsize van 5x5m</t>
  </si>
  <si>
    <t>Overzicht van de vlieglijnen van de platen van de Waddenzee 2011
Verklaring van de attributen:
VLIEGDATUM = datum van opname</t>
  </si>
  <si>
    <t>Laseraltimetrie hoogtegegevens ingewonnen volgens RWS-voorschriften
Opname van de droogvallende platen ten tijde van laag water periode.
Gebied :  Westerschelde
Gridbestanden met een pixelgrootte van 2m</t>
  </si>
  <si>
    <t>Polygoon voor Begrenzingslijn Basisnet Westerschelde in projectie ETRS89 zone 31 Noord. Deze polygoon is opgesteld op basis van de Basislijnen Basisnet Water (ZD_BBW_lijn_ETRS89_31N). Versie 2014-15.
De lijn valt onder de Regeling van de Staatssecretaris van Infrastructguur en Milieu, van ...., nr. IENM/BSK-, houdende vaststelling van de ligging van de risocoplafonds langs transportroutes en regels voor ruimtelijke ontwikkelingen langs transportroutes in verband met externe veiligheid (regeling basisnet).</t>
  </si>
  <si>
    <t>Lijn voor Begrenzingslijn Basisnet Westerschelde in projectie RD_new. Deze lijn is gebaseerd op drijvende en vaste markeringen in de Noordzee en Westerschelde en de aanwezige ankergebieden. Versie 2014-15.
De lijn valt onder de Regeling van de Staatssecretaris van Infrastructguur en Milieu, van ...., nr. IENM/BSK-, houdende vaststelling van de ligging van de risocoplafonds langs transportroutes en regels voor ruimtelijke ontwikkelingen langs transportroutes in verband met externe veiligheid (regeling basisnet).</t>
  </si>
  <si>
    <t>Polygoon voor Begrenzingslijn Basisnet Westerschelde in projectie RD_new. Deze polygoon is opgesteld op basis van de Basislijnen Basisnet Water (ZD_BBW_lijn_RD). Versie 2014-15.
De lijn valt onder de Regeling van de Staatssecretaris van Infrastructguur en Milieu, van ...., nr. IENM/BSK-, houdende vaststelling van de ligging van de risocoplafonds langs transportroutes en regels voor ruimtelijke ontwikkelingen langs transportroutes in verband met externe veiligheid (regeling basisnet).</t>
  </si>
  <si>
    <t>Lijn voor Begrenzingslijn Basisnet Westerschelde in projectie ETRS89 zone 31 Noord. Deze lijn is gebaseerd op drijvende en vaste markeringen in de Noordzee en Westerschelde en de aanwezige ankergebieden. Versie 2014-15.
De lijn valt onder de Regeling van de Staatssecretaris van Infrastructguur en Milieu, van ...., nr. IENM/BSK-, houdende vaststelling van de ligging van de risocoplafonds langs transportroutes en regels voor ruimtelijke ontwikkelingen langs transportroutes in verband met externe veiligheid (regeling basisnet).</t>
  </si>
  <si>
    <t>Posities van windturbines van aangelegde en toekomstige windparken op het Nederlands Continentaal Plat</t>
  </si>
  <si>
    <t>Orthofotomozaiek Oosterschelde is vervaardigd uit stereoluchtfoto opnamen van de landsdekkende fotovlucht 2009.
De stereoluchtfoto opnamen zijn gevlogen op 9 april 2009 met schaal 1:35.000. Dit orthofotomozaiek (en de stereobeelden die daar de basis voor vormen) is gebruikt tbv de geomorfologische kartering van de Oosterschelde 2009.</t>
  </si>
  <si>
    <t>Orthofotomozaiek Oosterschelde is vervaardigd uit stereoluchtfoto opnamen op 24 augustus 2009 tbv de geomorfologische kartering. 
Het gevlogen deel bestaat uit het westelijk en middendeel van de Oosterschelde met schaal 1:10.000.</t>
  </si>
  <si>
    <t>Via deze site is het mogelijk om de beeldbank van Rijkswaterstaat te zoeken naar foto's en video's.</t>
  </si>
  <si>
    <t>In de Beleidslijn grote rivieren wordt voor de gebieden rond de grote rivieren aangegeven welke activiteiten toegestaan zijn.</t>
  </si>
  <si>
    <t>Gebiedsschematisatie, de basis vormt van een hydraulische, waterkwaliteits- en/of ecologische model van het gebied IJsselmeer Vechtdelta.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</si>
  <si>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de basis vormt van een hydraulische, waterkwaliteits- en/of ecologische model van het gebied Noordzee, Dutch Continental Shelf Model.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</si>
  <si>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Overzicht van de vlieglijnen van de platen van de Waddenzee 2010
Verklaring van de attributen:
VLIEGDATUM = datum van opname</t>
  </si>
  <si>
    <t>Onderzoek onder de weggebruikers van rijkswegen in Utrecht. Hierbij is onderscheid gemaakt in personenverkeer en goederenvervoer. Onderwerpen zijn herkomsten, bestemmingen, voorkeuren, motieven, percentages van personenverkeer in Randstad.</t>
  </si>
  <si>
    <t>Data.overheid.nl dataregister</t>
  </si>
  <si>
    <t>Servicedesk-data@rws.nl</t>
  </si>
  <si>
    <t xml:space="preserve">Normaal Amsterdams Peil (NAP) _x000D_
</t>
  </si>
  <si>
    <t>gepland</t>
  </si>
  <si>
    <t xml:space="preserve">Nationaal Wegwijzerbestand_x000D_
</t>
  </si>
  <si>
    <t xml:space="preserve">Bodemligging (lodingen en afgeleide producten) _x000D_
</t>
  </si>
  <si>
    <t>Orthofotomozaiek van het gebied Oosterschelde vervaardigd uit  stereoluchtfoto-opname op 15.07.2013 ter ondersteuning van het VEGWAD monitoringsprogramma in opdracht van de Waterdienst.</t>
  </si>
  <si>
    <t>Laseraltimetrie hoogtegegevens ingewonnen volgens RWS-voorschriften.
Opname van de droogvallende platen ten tijde van laag water periode.</t>
  </si>
  <si>
    <t>In het kader van Natura2000 worden gebiedsdekkende habitatkarteringen opgebouwd voor gebieden die zijn aangewezen als habitatrichtlijngebied. Habitattypen zijn gebaseerd op vegetatietypen, geaccepteerde typologi‰n zijn VVN, SALT en SBB. Voor de Voordelta is gebruik gemaakt van slechts 1 Vegwad-kartering (Slufter Voorne en Kwade Hoek, 2012), die is samengesteld uit SALT-vegetatietypen. Het bestand probeert de situatie te beschrijven zoals die zes jaar na het jaar van aanwijzing (2008) van toepassing was, of zo dicht mogelijk te benaderen. Voor de kwelder- en duingebieden is dus gebruik gemaakt van de vegetatiekartering Slufter Voorne en Kwade Hoek (2012). 
Voor onderliggende vegetatiegegevens kan het bestand "N2K_HK_113_Voordelta_vegetaties_t1" geraadpleegd worden, hiervoor dient een koppeling gemaakt te worden tussen beide bestanden d.m.v. het veld "SLEUTEL". 
Voor de zeegebieden is een dieptebestand (type raster) geconverteerd naar een shapefile zodat de informatie samgengevoegd kon worden met de hierboven genoemde kwelder- en duingebieden. 
Voor een uitgebreide methodebeschrijving zie "Methodiek Habitatkaarten RWS Voordelta_t1". (http://kennisplein.intranet.minienm.nl/documenten/620458)</t>
  </si>
  <si>
    <t>In het kader van Natura2000 worden gebiedsdekkende habitatkarteringen opgebouwd voor gebieden die zijn aangewezen als habitatrichtlijngebied. Habitattypen zijn gebaseerd op vegetatietypen, geaccepteerde typologi‰n zijn VVN, SALT en SBB. Voor de Voordelta is gebruik gemaakt van slechts 1 Vegwad-kartering (Slufter Voorne en Kwade Hoek, 2006), die is samengesteld uit SALT-vegetatietypen. Het bestand probeert de situatie te beschrijven zoals die in het jaar van aanwijzing (2008) van toepassing was, of zo dicht mogelijk te benaderen. Voor de kwelder- en duingebieden is dus gebruik gemaakt van de vegetatiekartering Slufter Voorne en Kwade Hoek (2006). 
Voor de zeegebieden is een dieptebestand (type raster) geconverteerd naar een shapefile zodat de informatie samgengevoegd kon worden met de hierboven genoemde kwelder- en duingebieden. 
Voor een uitgebreide methodebeschrijving zie "Methodiek Habitatkaarten RWS Voordelta_t0' (http://kennisplein.intranet.minienm.nl/documenten/620257).</t>
  </si>
  <si>
    <t>Deze website geeft de nieuwe scheepvaart berichten zowel op kaart als in een tabel. De gebruiker kan via kenmerken de berichten selecteren.</t>
  </si>
  <si>
    <t>Op deze pagina vindt u de verwachte minst gepeilde diepten.</t>
  </si>
  <si>
    <t>Deze website geeft de nieuwe scheepvaart berichten zowel op kaart als in een tabel. De gebruiker moet een gebied kiezen waarvoor de informatie moet worden getoond.</t>
  </si>
  <si>
    <t>Deze website geeft de nieuwe scheepvaart berichten zowel op kaart als in een tabel.</t>
  </si>
  <si>
    <t>Op deze pagina kunt u bestanden met vaarweginformatie bekijken en downloaden.</t>
  </si>
  <si>
    <t>Orthofotomozaiek Friesche Groningerkwelders vervaardigd uit stereofoto-opnamen op 10-10-2008 ter ondersteuning van het VEGWAD monitoringsprogramma in opdracht van de Waterdienst</t>
  </si>
  <si>
    <t>Mobiele monitoringspunten uit onder andere het MWTL-programma (Monitoring van de Waterstaatkundige Toestand des Lands) geldig vanaf 1990 tot heden en Macrobenthos + Sediment.</t>
  </si>
  <si>
    <t>Orthofotomozaiek van Westerschelde vervaardigd uit stereoluchtfoto opnamen op 24/07/2012 ter ondersteuning van  Geomorphology monitoringsprgramma in opdracht van de Waterdienst.</t>
  </si>
  <si>
    <t>Zaaknummer 31074371. 
Laser Waddenzee 2014. 
De data is verkregen middels laseraltimetrie. De inwinning vindt meerjarig plaats ten behoeve van het monitoren van de platen in de Waddenzee.
Gridbestanden met een pixelgrootte van 2m.</t>
  </si>
  <si>
    <t>Zaaknummer 31074371. Laser Kust 2014 - Vlieglijnen (shape) - Waddenzee. De data is verkregen middels laseraltimetrie. De inwinning vindt meerjarig plaats ten behoeve van het monitoren van de platen in de Waddenzee</t>
  </si>
  <si>
    <t>Vlieglijnen Waal 2014
Deze data is verkregen middels laseraltimetr</t>
  </si>
  <si>
    <t>Laserdata van de Waal 2014 in de vorm van een grid met een resolutie van 0,5 meter waarbij de hoogtewaarde is opgenomen in centimeters.
De data is verkregen middels laseraltimetrie.
Meetdatum:  25 juni 2014</t>
  </si>
  <si>
    <t>In het kader van Natura2000 worden gebiedsdekkende habitatkarteringen opgebouwd voor gebieden die zijn aangewezen als habitatrichtlijngebied. Normaliter worden habitattypen gebaseerd op vegetatietypen (geaccepteerde typologi‰n zijn VVN, SALT en SBB). Voor het Zwarte Meer zijn deze helaas niet beschikbaar, daarom is gebruik gemaakt van waterplantenkarteringen (2009), die eenmaal per vier jaar per deelgebied worden gepubliceerd. Deze informatie is m.b.t. de oevers aangevuld met de RWS ecotopenkartering (2004). Specifiek voor de oostoever is veldwerk verricht in 2009 door Alterra (Albert Corporaal en John Janssen). Het habitattypenbestand Zwarte Meer is goedgekeurd door EZ (Dick Bal) op 13 maart 2013. Het bestand probeert de situatie te beschrijven zoals deze in het jaar van aanwijzing (2009) van toepassing was, of zo dicht mogelijk te benaderen.
Voor meer informatie, zie: http://kennisplein.intranet.minienm.nl/documenten/622295</t>
  </si>
  <si>
    <t>In het kader van Natura2000 worden gebiedsdekkende habitatkarteringen opgebouwd voor gebieden die zijn aangewezen als habitatrichtlijngebied. Normaliter worden habitattypen gebaseerd op vegetatietypen (geaccepteerde typologi‰n zijn VVN, SALT en SBB). Voor de Veluwerandmeren zijn deze helaas niet beschikbaar, daarom is gebruik gemaakt van waterplantenkarteringen (2009), die eenmaal per vier jaar per deelgebied worden gepubliceerd. Deze informatie is m.b.t. de oevers aangevuld met de RWS ecotopenkartering (2004). Het habitattypenbestand Veluwerandmeren is goedgekeurd door EZ (Dick Bal) op 13 maart 2013. Het bestand probeert de situatie te beschrijven zoals deze in het jaar van aanwijzing (2009) van toepassing was, of zo dicht mogelijk te benaderen.
Voor meer informatie, zie: http://kennisplein.intranet.minienm.nl/documenten/622295</t>
  </si>
  <si>
    <t>In het kader van Natura2000 worden gebiedsdekkende habitatkarteringen opgebouwd voor gebieden die zijn aangewezen als habitatrichtlijngebied. Normaliter worden habitattypen gebaseerd op vegetatietypen (geaccepteerde typologi‰n zijn VVN, SALT en SBB). Voor het Markermeer en IJmeer zijn deze helaas niet beschikbaar, daarom is gebruik gemaakt van waterplantenkarteringen (2004 Gouwzee &amp; 2007 IJmeer en overige meren), die eenmaal per vier jaar per deelgebied worden gepubliceerd. Het habitattypenbestand Markermeer en IJmeer is goedgekeurd door EZ (Dick Bal) op 13 maart 2013. Het bestand probeert de situatie te beschrijven zoals deze in het jaar van aanwijzing (2009) van toepassing was, of zo dicht mogelijk te benaderen.
Voor meer informatie, zie: http://kennisplein.intranet.minienm.nl/documenten/622295</t>
  </si>
  <si>
    <t>In het kader van Natura2000 worden gebiedsdekkende habitatkarteringen opgebouwd voor gebieden die zijn aangewezen als habitatrichtlijngebied. Normaliter worden habitattypen gebaseerd op vegetatietypen (geaccepteerde typologi‰n zijn VVN, SALT en SBB). Voor het IJsselmeergebied zijn deze helaas niet beschikbaar, daarom is gebruik gemaakt van waterplantenkarteringen (2009), die eenmaal per vier jaar worden gepubliceerd. Aanvullend is gebruik gemaakt van Ecotopenkarteringen m.b.t. de oevers (2004), vegetatiekartering Workumer Nieuwland (Staatsbosbeheer, 2002) en een vegetatiekartering Makkumer Noordwaard (It Fryske Gea, 2006). Het habitattypenbestand IJsselmeer is goedgekeurd door EZ (Dick Bal) op 13 maart 2013. Het bestand probeert de situatie te beschrijven zoals deze in het jaar van aanwijzing (2004) van toepassing was, of zo dicht mogelijk te benaderen.
Voor meer informatie, zie: http://kennisplein.intranet.minienm.nl/documenten/622295</t>
  </si>
  <si>
    <t>De shapefile bevat hyperlinks die verwijzen naar de helicopter luchtfoto's die gemaakt zijn op 14 maart 2011. De volgende locaties zijn hierbij gefotografeerd: 
A2_HetGroeneWoud
A2_Leenderheide-Limbgrens
A2_Maas-Kerensheide
A2_Randweg_Eindhoven
A2_Rondweg_denBosch
A4_Steenbergen
A58_Oirschot-Batadorp
A67_BelgischeGrens-Venlo
ZuidWillemsvaart</t>
  </si>
  <si>
    <t>Bestanden ter ondersteuning voor de monitoringlijst van openbare verlichting en verkeersregelinstallaties.</t>
  </si>
  <si>
    <t>Betreft monitoringsdata. Het Offshore Windpark Egmond aan Zee is het eerste offshore windpark dat in de Noordzee voor de Nederlandse kust is gebouwd. Het park bestaat uit 36 windmolens met ieder een vermogen van 3 MW. De locatie van het park ligt 10 tot 18 kilometer uit de kust bij Egmond aan Zee. Het is een demonstratiepark: De hier ontwikkelde kennis en opgedane ervaring is belangrijk voor de verdere ontwikkeling van windenergie op zee. Hierbij gaat het om techniek, ecologie, economische en maatschappelijke haalbaarheid. NoordzeeWind, een consortium van Nuon en Shell en eigenaar van OWEZ, won de tender voor OWEZ in combinatie met het zogenoemde MEP-NSW onderzoeksprogramma, een onderzoeksprogramma opgezet door de Rijksoverheid in 2006. Hierin staan leerdoelen voor de ontwikkeling van wind op zee. Het MEP-NSW heeft in belangrijke mate bijgedragen aan de leerdoelen van offshore windenergie. In het monitoring- en evaluatieprogramma staan de volgende ecologische vraagstukken centraal: •Vogels: vliegpatronen, aanwezigheid, intensiteit, seizoen, dag/nacht in verband met inschatting aanvaringsrisico’s: Vogels: verstoring leef-/foerageergebied, barrièrewerking. De invloed van onderwatergeluid op vissen en zeezoogdieren. De variatie en dichtheden van het onderwaterleven en het functioneren als refugium.</t>
  </si>
  <si>
    <t>Betreft monitoringsdata. In de periode 2008-2013 heeft het Havenbedrijf Rotterdam de eerste fase van Maasvlakte 2 aangelegd. De nieuwe haven beslaat zo’n 2,5% van de totale Voordelta, een Natura2000 gebied. Zowel de aanleg als de aanwezigheid van de haven heeft volgens de Milieu Effect Rapportage (MER) effecten op aanwezige dier- en plantensoorten. De effecten van de aanleg en aanwezigheid van Maasvlakte 2 voor de natuur en leefomgeving zijn met verschillende maatregelen gecompenseerd en gemitigeerd. Zo is een bodembeschermingsgebied van 25.000 ha in de Voordelta ingesteld (10x de grootte van het oppervlak van de nieuwe haven) met daarbinnen rustgebieden voor vogels. Daarnaast is er in 2009 een nieuw duingebied gerealiseerd bij ‘s Gravezande (Spanjaardsduin) om de stikstofdepositie die na ingebruikname van de Tweede Maasvlakte toeneemt, te compenseren. Ook zijn diverse maatregelen genomen om de effecten van de aanleg te compenseren en mitigeren. Om de effectiviteit van deze genomen maatregelen te monitoren zijn drie Monitoring- en Evaluatieplannen (MEP) opgesteld en uitgevoerd.</t>
  </si>
  <si>
    <t>De kartering is vervaardigd volgens de methodiek 3de cyclus Ecotopen. Aanpassingen voor het programma Natuurvriendelijke oevers Maas zijn beschreven in de toelichting "Monitoring vegetatiestructuur en oeverlijn Eroderende oevers Maas 2009". Als basis voor de kartering is in de fotovlucht d.d. 20 en 22 mei 2010 (infrarood) gebruikt, gevlogen op schaal 1:5000 met een grondresolutie van 6 cm.
Naast de vegetatiestructuur is ook de 'bovenkant talud' en de 'bovenzijde erosierand' vastgelegd.</t>
  </si>
  <si>
    <t>Vlieglijnen Waal 2013
Deze data is verkregen middels laseraltimetrie  
Opnamedatum: 8 september 2013</t>
  </si>
  <si>
    <t>Laserdata van de Waal 2013 in de vorm van een grid met een resolutie van 0,5 meter waarbij de hoogtewaarde is opgenomen in centimeters.
De data is verkregen middels laseraltimetrie.
Meetdatum:  8 september 2013</t>
  </si>
  <si>
    <t>Conform de Waterwet moet voor waterstaatswerken door de beheerder een legger worden opgesteld. Met de 'Legger Rijkswaterstaatswerken Waterwet' legt Rijkswaterstaat voor zijn beheergebied vast waaraan waterstaatswerken naar ligging, vorm, afmetingen en constructie moeten voldoen.  Er zijn drie typen waterstaatswerken die in de legger zijn opgenomen: oppervlaktewaterlichamen, regionale keringen en ondersteunende kunstwerken en objecten. Er zijn geen bergingsgebieden in beheer bij Rijkswaterstaat en derhalve zijn die dus niet opgenomen. De legger bevat in essentie een beschrijving van de fysiek in stand te houden elementen en constructies, waarbij vaarwegen, oevers en hoogwaterveiligheid het meest wezenlijk zijn. De karakteristieke dimensies worden beschreven in gestandaardiseerde, schematische weergaven van bovenaanzichten, dwars- en lengtedoorsneden, tabellen en systeembeschrijvingen. De legger ontsluit alle informatie over de rijkswateren op uniforme wijze, met een geografisch informatiesysteem.</t>
  </si>
  <si>
    <t>2017-01-17</t>
  </si>
  <si>
    <t>De shapefile bevat hyperlinks die verwijzen naar de helicopter luchtfoto's die gemaakt zijn op 13 september 2012. De volgende locaties zijn hierbij gefotografeerd: A2 Het Groene Woud, A2 Einhoven - Den Bosch, A4 Steenbergen, Zuid Willemsvaart Den Bosch.</t>
  </si>
  <si>
    <t>baggervakken met randen in de Dordtsche Kil, oversteek Moerdijk</t>
  </si>
  <si>
    <t>In het kader van Natura2000 worden gebiedsdekkende habitatkarteringen opgebouwd voor gebieden die zijn aangewezen als habitatrichtlijngebied. Habitattypen zijn gebaseerd op vegetatietypen, geaccepteerde typologi‰n zijn VVN, SALT en SBB. Voor de Waddenzee is gebruik gemaakt van verschillende Vegwad-karteringen, die zijn samengesteld uit SALT-vegetatietypen Het bestand probeert de situatie te beschrijven zoals die in het jaar van aanwijzing (2008) van toepassing was, of zo dicht mogelijk te benaderen. Voor de kwelder- en duingebieden zijn de volgende vegwadkarteringen opgenomen in het habitattpyenbestand:
- Ameland (2008)
- Boschplaat (2006)
- Dollard (2006)
- Griend (2006)
- Kroonspolder en Westerveld (2009)
- Kwelders Groningen en Friesland (2008)
- Kwelders Noord-Holland (2005)
- Kwelders Texel (2005)
- Noordvaarder en Groenestrand (2009)
- Rottum (2004)
- Schiermonnikoog (2004)
- Slufter Texel (2005)
Onderliggende vegetaties zijn opgeslagen in afzonderlijke tabellen (per kartering 1 tabel), te vinden 1 niveau hoger dan de feature dataset (direct in de 'root' van de database).  D.m.v. het veld SLEUTEL is een koppeling te maken  tussen de polygoon in het bestand en de onderliggende vegetatie. 
Voor de zeegebieden is een dieptebestand (type raster) geconverteerd naar een shapefile zodat de informatie samgengevoegd kon worden met de hierboven genoemde kwelder- en duingebieden. 
Voor een uitgebreide methodebeschrijving zie "Bijlage_5_Methodiek Habitatkaarten RWS _Waddenzee_Noordzeekustzone_t0_def' (http://kennisplein.intranet.minienm.nl/documenten/620061).</t>
  </si>
  <si>
    <t>In het kader van Natura2000 worden gebiedsdekkende habitatkarteringen opgebouwd voor gebieden die zijn aangewezen als habitatrichtlijngebied. Habitattypen zijn gebaseerd op vegetatietypen, geaccepteerde typologi‰n zijn VVN, SALT en SBB. Voor de Noordzeekustzone is gebruik gemaakt van verschillende Vegwad-karteringen, die zijn samengesteld uit SALT-vegetatietypen Het bestand probeert de situatie te beschrijven zoals die in het jaar van aanwijzing (2008) van toepassing was, of zo dicht mogelijk te benaderen. Voor de kwelder- en duingebieden zijn de volgende vegwadkarteringen opgenomen in het habitattpyenbestand:
- Ameland (2008)
- Boschplaat (2006)
- Kroonspolder en Westerveld (2009)
- Kwelders Texel (2005)
- Noordvaarder en Groenestrand (2009)
- Rottum (2004)
- Schiermonnikoog (2004)
- Slufter Texel (2005)
Onderliggende vegetaties zijn opgeslagen in afzonderlijke tabellen (per kartering 1 tabel), te vinden 1 niveau hoger dan de feature dataset (direct in de 'root' van de database).  D.m.v. het veld SLEUTEL is een koppeling te maken  tussen de polygoon in het bestand en de onderliggende vegetatie. 
Voor de zeegebieden is een dieptebestand (type raster) geconverteerd naar een shapefile zodat de informatie samgengevoegd kon worden met de hierboven genoemde kwelder- en duingebieden. 
Voor een uitgebreide methodebeschrijving zie "Bijlage_5_Methodiek Habitatkaarten RWS _Waddenzee_Noordzeekustzone_t0_def' (http://kennisplein.intranet.minienm.nl/documenten/620061).</t>
  </si>
  <si>
    <t>Luchtfoto gevlogen t.b.v. het maken van een DTM voor de A27 Lunetten - Hooipolder.</t>
  </si>
  <si>
    <t>Het 'Overzicht Stortplaatsen' is gebaseerd op de enquête die jaarlijks door de Werkgroep Afvalregistratie (WAR) wordt uitgevoerd. Deze werkgroep wordt gevormd door het het Ministerie van Infrastructuur en Milieu, de Vereniging Afvalbedrijven, het Interprovinciaal Overleg (IPO) en Rijkswaterstaat Leefomgeving (Bodem+ en Uitvoering Afvalbeheer).</t>
  </si>
  <si>
    <t>Verleende en geweigerde verklaringen grond baggerspecie.</t>
  </si>
  <si>
    <t>Het Rekenmodel Nazorg en Beheer (RNB) verschaft een standaard ter ondersteuning voor een objectieve afweging van beheervarianten of nazorg.</t>
  </si>
  <si>
    <t>Erkende instellingen Erkenningen Besluit bodemkwaliteit.</t>
  </si>
  <si>
    <t>Vaste meetlocaties binnen en buiten het Nederlands Continentaal Plat voor het uitvoeren van meteorologische en  / of oceanografische metingen.</t>
  </si>
  <si>
    <t>Electronic Navigational Charts (ENC’s) van de hoofdvaarwegen tussen Nederland en België. Op deze elektronische vaarkaarten vindt u gegevens over de vaargeul, markering, bebording, brugdoorvaarthoogte en sluisafmetingen.</t>
  </si>
  <si>
    <t>Electronic Navigational Charts (ENC’s) van de hoofdvaarwegen in Nederland welke in beheer zijn bij Rijkswaterstaat. Op deze elektronische vaarkaarten vindt u gegevens over de vaargeul, markering, bebording, brugdoorvaarthoogte en sluisafmetingen.</t>
  </si>
  <si>
    <t>Laseraltimetrie opname rivieroevers Waal in de vorm van een grid met een resolutie van 0,5 meter waarbij de hoogtewaarde is opgenomen in meters .
Voor verdere informatie zie kwaliteitsdocument.
Opgenomen tijdens laagwater periode.</t>
  </si>
  <si>
    <t>Vegetatiedatabase (opgebouwd uit vlakken) van alle gebieden die onder invloed staan van de zee (kwelders en groene stranden), ingewonnen op basis van luchtfoto's 1:5.000 of 1:10.000 en veldwerk. De database bevat afgeleide vanaf 2008 informatie waarmee, naast de vegetatiekaart en grove duintypenkaart (GST), de volgende kaarten kunnen worden gemaakt: vegetatiezoneringskaart, vegetatiestructuurkaart, Habitattypenkaart, KRW-zoneringskaart. Via de servicedesk data van de CIV is een vertaaltabel beschikbaar van Salttype naar betreffende afgeleide. De database is samengesteld uit vegetatiekarteringen die zijn ingewonnen op basis van classificatie volgens Salt97 en Salt08. Tot en met 2007 zijn vegetatiekarteringen ingewonnen aan de hand van Salt97. Bij deze karteringen werden per gebied lokale vegetatietypen onderscheiden. Met de komst van Salt08 is de typologie geharmoniseerd. Karteringen tot en met 2007 zijn vertaald naar de Salt08 typologie. Per kartering is er een vertaallijst van de typen beschikbaar, deze kan worden opgevraagd via de servicedesk data van de CIV. Voor een bijbehorende toelichting per karteergebied per jaargang, zie: http://publicaties.minienm.nl/zoeken of http://www.rijkswaterstaat.nl/water/waterbeheer/natuur-en-milieu/kwelders/meer-weten/index.aspx
.In bijlage I van elke toelichting wordt de specifieke metadata gegeven. Van de originele karteringen zijn GIS gegevens ook file based op basis van Salt97 beschikbaar onder: http://www.rijkswaterstaat.nl/apps/geoservices/geodata/dmc/kweldervegetatie/</t>
  </si>
  <si>
    <t>Deze pagina toont de metingen van de klant RWS Zee en Delta.</t>
  </si>
  <si>
    <t>Deze pagina toont de metingen van de klant RWS Brandaris.</t>
  </si>
  <si>
    <t>Op verzoek van de KNRM is er een pagina gemaakt met actuele hydro meteo informatie voor de specifieke KNRM-stations Ameland en Scheveningen. Het betreft hier een pilot om na te gaan welke informatie en vooral in welke vorm deze de activiteiten van de KNRM kan ondersteunen. Het initiatief is genomen door Dhr. Germ Martini van de KNRM. Op- en aanmerkingen dienen in eerste instantie door hem verzameld te worden waarna we deze diensten voor meerdere locaties kunnen uitbreiden.</t>
  </si>
  <si>
    <t>Voor het uitwerken van lodingen op de Noordzee krijgt de Dienst der Hydrografie van de Koninklijke Marine iedere nacht gevalideerde metingen van vaste meetlokaties op de Noordzee. De files worden in een cyclus van een week overschreven en hebben als kenmerk de naam van de dag waarin de DATA vallen, op woensdag ochtend om ca 04:00 wordt Data_HMCN_Tue.tar aangeleverd.</t>
  </si>
  <si>
    <t>Op verzoek van het Wadloopcentrum is er een pagina gemaakt met actuele hydro meteo informatie voor de specifieke Wantij locaties. Het betreft hier een pilot om na te gaan welke informatie en vooral in welke vorm deze de activiteiten van het Wadloopcentrum kan ondersteunen. Het initiatief is genomen door Dhr. Pier Soepboer van het Wadloopcentrum. Op- en aanmerkingen dienen in eerste instantie door hem verzameld te worden waarna we deze diensten voor andere locaties kunnen uitbreiden. Het gebruikte model waarmee de waterstand op het wantij wordt berekend bevat ook droogvallen van dat uitvoerpunt. De waterstand 'stopt' op het moment van droogvallen en vertoont dan een gat in de tijdreeks. In het omliggende, lagere, gebied zal de waterstand dus verder kunnen dalen. In de locatie Holwerd is het voldoende diep om de gehele waterstandsreeks te volgen.</t>
  </si>
  <si>
    <t>Deze pagina geeft het KNMI informatie over opzetten (correctie en verachting), golfspectra, wind en waterstanden.</t>
  </si>
  <si>
    <t>De shapefile bevat hyperlinks die verwijzen naar de helicopter luchtfoto's die gemaakt zijn op 12 februari 2013. De volgende locaties zijn hierbij gefotografeerd: A2 Het Groene Woud, A2 Einhoven - Den Bosch, A4 Steenbergen, Zuid Willemsvaart Den Bosch, Wilhelminakanaal, Spoortrace Vught.</t>
  </si>
  <si>
    <t>Digitaal Topografisch Bestand van de natte hoofdinfrastructuur in beheer bij Rijkswaterstaat (DTB-Nat) en de droge  hoofdinfrastructuur (DTB-Droog) in beheer bij Rijkswaterstaat opgebouwd uit punt-, lijn- en vlakinformatie.</t>
  </si>
  <si>
    <t>Downloads bestanden voor de Bodem- Toets en Validatieservice.</t>
  </si>
  <si>
    <t>Deze pagina leidt naar data die behoort tot de Waterwet. De Waterwet regelt sinds 22 december 2009 het beheer van oppervlaktewater en grondwater, en zorgt voor samenhang tussen waterbeleid en ruimtelijke ordening en daarnaast het beheer van oppervlaktewater en grondwater.  Totdat de Omgevingswet in werking treedt- voorzien voor 2018 -  blijft de Waterwet van kracht.</t>
  </si>
  <si>
    <t>Deze website geeft informatie over de Watson database. De database bevat een schat aan informatie over de concentraties microverontreinigingen in het influent en effluent van Nederlandse rioolwaterzuiveringsinstallaties (rwzi's).</t>
  </si>
  <si>
    <t>De shapefile bevat hyperlinks die verwijzen naar de helicopter luchtfoto's die gemaakt zijn op 11 november 2013. De volgende locaties zijn hierbij gefotografeerd: A2 Einhoven - Den Bosch, A4 Steenbergen, Zuid Willemsvaart, Maximakanaal, A27 Hooipolder-Lunetten, A2 randweg Eindhoven, A2 Ecoduct Het Groene Woud, Spoortraverse 's-Hertogenbosch, A59 Drunen, A59 Waalwijk, Wilhelminakanaal, Maasbracht haven.</t>
  </si>
  <si>
    <t>Overzicht vlieglijnen kust 2013. De data is verkregen middels laseraltimetrie. De inwinning vindt meerjarig plaats ten behoeve van het handhaven van de basiskustlijn van de gehele Nederlandse Kust.</t>
  </si>
  <si>
    <t>Laser Kust 2013 - 2m gefilterd grid per Top10 kaartblad. De data is verkregen middels laseraltimetrie. De inwinning vindt meerjarig plaats ten behoeve van het handhaven van de basiskustlijn van de gehele Nederlandse Kust.</t>
  </si>
  <si>
    <t>Overzicht vlieglijnen kust 2014. De data is verkregen middels laseraltimetrie. De inwinning vindt meerjarig plaats ten behoeve van het handhaven van de basiskustlijn van de gehele Nederlandse Kust.</t>
  </si>
  <si>
    <t>Laser Kust 2014 - 2m gefilterd grid per Top10 kaartblad. De data is verkregen middels laseraltimetrie. De inwinning vindt meerjarig plaats ten behoeve van het handhaven van de basiskustlijn van de gehele Nederlandse Kust.</t>
  </si>
  <si>
    <t>De shapefile bevat hyperlinks die verwijzen naar de helicopter luchtfoto's die gemaakt zijn op 11 juni 2014. De volgende locaties zijn hierbij gefotografeerd: A4 Steenbergen, Zuid Willemsvaart, Maximakanaal, Meerenakkerweg Eindhoven, A50, Ecoducten A2 en A50, Wilhelminakanaal.</t>
  </si>
  <si>
    <t>De puntenset bevat hyperlinks naar de meest recente foto's die voor de diverse (water)wegen beschikbaar waren op het tijdstip van publicatie.</t>
  </si>
  <si>
    <t>In de Provincie Noord-Brabant zijn bij verschillende Rijkswegen faunavoorzieningen aangebracht in het kader van het Meerjarenplan Ontsnippering (MJPO). Deze faunavoorzieningen zorgen ervoor dat leefgebieden van verschillende soorten dieren die zijn doorsneden door Rijkswegen weer met elkaar worden verbonden. Faunavoorzieningen die zijn toegepast in de Provincie zijn bijvoorbeeld dassentunnels en ecoducten.
Om een totaalbeeld te verkrijgen van het functioneren van de MJPO maatregelen en extra faunavoorzieningen heeft Rijkswaterstaat Noord-Brabant aan Bureau Waardenburg opdracht gegeven een audit uit te voeren.
Deze dataset bevat de locaties uit de bij het rapport geleverde tabellen die zichtbaar gemaakt konden worden. De kleine faunatunnel bij de A4 HM 231,525 was niet aanwezig en is dus niet opgenomen in de dataset.</t>
  </si>
  <si>
    <t>De shapefile bevat hyperlinks die verwijzen naar de helicopter luchtfoto's die gemaakt zijn op 17 november 2009. De volgende locaties zijn hierbij gefotografeerd: A2 Den Bosch - Zaltbommel, A2 Leenderheide - Limburgse grens, A2 randweg Eindhoven, A2 rondweg Den Bosch, A27 Utrecht Lunetten - Gorichem, A58 Ekkersweijer - Ekkersrijt, A58 Oirschot - Batadorp, Zuidwillemsvaart.</t>
  </si>
  <si>
    <t>Orthofotomozaiek van Schiemonnikoog, Vegwad Wadden vervaardigd uit stereoluchtfoto opnamen op 06/09/2010 ter ondersteuning van  MWTL monitorings programma in opdracht van de Waterdienst.</t>
  </si>
  <si>
    <t>Orthofotomozaiek van Rottum, Vegwad Wadden vervaardigd uit stereoluchtfoto opnamen op 06/09/2010 ter ondersteuning van  MWTL  monitorings programma in opdracht van de Waterdienst.</t>
  </si>
  <si>
    <t>Puntlokaties van helicopterfoto's zoals gevlogen in oktober 2008</t>
  </si>
  <si>
    <t>Orthofotomozaiek van terschelling en Vlieland, Vegwad Wadden vervaardigd uit stereoluchtfoto opnamen op 10/09/2015 ter ondersteuning van  MWTL  monitorings programma in opdracht van Rijkswaterstaat Water, Verkeer en Leefomgeving</t>
  </si>
  <si>
    <t>De kartering is vervaardigd volgens de methodiek 3de cyclus Ecotopen. Aanpassingen voor het programma Natuurvriendelijke oevers Maas zijn beschreven in de toelichting "Monitoring vegetatiestructuur en oeverlijn Eroderende oevers Maas 2009". Als basis voor de kartering is in de fotovlucht d.d. 29 mei 2009 (infrarood) gebruikt, gevlogen op schaal 1:5000 met een grondresolutie van 6 cm..
Naast de vegetatiestructuur is ook de 'bovenkant talud' en de 'bovenzijde erosierand' vastgelegd.</t>
  </si>
  <si>
    <t>Excelbestand op postcode4-niveau van herkomsten, bestemmingen, voorkeuren, motieven, percentages van personenverkeer in Randstad.</t>
  </si>
  <si>
    <t>De shapefile bevat hyperlinks die verwijzen naar de helicopter luchtfoto's die gemaakt zijn op 10 maart 2010. De volgende locaties zijn hierbij gefotografeerd: A2 Den Bosch - Zaltbommel, A2 Eindhoven - Den Bosch, A2 Het Groene Woud, A2 Leenderheide - Limburgse grens, A2 randweg Eindhoven, Meerenakkerweg Eindhoven, A2 rondweg Den Bosch, A4 Steenbergen, A58 Annabosch - Galder, A58 Ekkersweijer - Ekkersrijt, A59 Vlijmen, A65 Vught - Tilburg, Wilhelminakanaal, Zuidwillemsvaart.</t>
  </si>
  <si>
    <t>Puntlokaties van helicopterfoto's zoals gevlogen in december 2008</t>
  </si>
  <si>
    <t>Laseraltimetrie opname kribben IJssel en Nederrijn in de vorm van een grid met een resolutie van 0,5 meter waarbij de hoogtewaarde is opgenomen in meters Opgenomen tijdens een laagwaterperiode. Voor verdere informatie zie kwaliteitsdocument.</t>
  </si>
  <si>
    <t>De shapefile bevat hyperlinks die verwijzen naar de helicopter luchtfoto's die gemaakt zijn op 9 september 2013. De volgende locaties zijn hierbij gefotografeerd: A2 Het Groene Woud, A2 Einhoven - Den Bosch, A4 Steenbergen, Zuid Willemsvaart.</t>
  </si>
  <si>
    <t>Gebieden met watervoorziening vanuit de meren van het IJsselmeergebied</t>
  </si>
  <si>
    <t>De shapefile bevat hyperlinks die verwijzen naar de helicopter luchtfoto's die gemaakt zijn op 9 juli 2013. De volgende locaties zijn hierbij gefotografeerd: A2 Het Groene Woud, A2 Einhoven - Den Bosch, A2 randweg Eindhoven, A4 Steenbergen, A50 Eindhoven-Ravenstein, Spoortrace 's-Hertogenbosch, A59 Drunen, Zuid Willemsvaart.</t>
  </si>
  <si>
    <t>Ligging van Artikel 20 gebieden op de Noordzee en Voordelta, conform de Natuurbeschermingswet 1998 zijn op deze gebieden de volgende regels van toepassing.
1.Gedeputeerde staten kunnen de toegang tot een beschermd natuurmonument als bedoeld in artikel 10, eerste lid, een Natura 2000-gebied of delen van bedoelde gebieden, voorzover dit noodzakelijk is voor de bescherming van natuurwaarden, beperken.
2.Indien een gebied als bedoeld in het eerste lid geheel of ten dele wordt beheerd door of onder verantwoordelijkheid van Onze Minister of een van Onze andere Ministers, wordt de in het eerste lid bedoelde bevoegdheid uitgeoefend door Onze Minister in overeenstemming met Onze andere Minister.
3.Het is verboden in strijd met de beperkingen die ingevolge het eerste en tweede lid zijn opgelegd, zich te bevinden in een beschermd natuurmonument als bedoeld in artikel 10, eerste lid, een Natura 2000-gebied of gedeelten daarvan.
4.Het verbod in het derde lid geldt niet voor de eigenaar en de gebruiker van een beschermd natuurmonument als bedoeld in artikel 10, eerste lidof een Natura 2000-gebied, indien bedoeld gebruiksrecht zich daarover uitstrekt.
Met betrekking tot de Rustgebieden in de Voordelta het volgende.
In de Voordelta krijgen de gewone zeehond en vogels als de zwarte zee-eend, grote stern en visdief rustgebieden. Hier kunnen zij voedsel vinden en hun jongen grootbrengen. 
In totaal gaat het om vijf rustgebieden, grotendeels gelegen binnen het bodembeschermingsgebied.
Beperkingen voor visserij en recreatie
Menselijke activiteiten die zeehonden en beschermde vogels verstoren, zijn in en rond deze vijf rustgebieden verboden. Voorbeelden zijn laag overvliegen, baggeren en vissen met fuiken. 
In een rustgebied gelden dus strengere regels dan in de rest van het bodembeschermingsgebied. Recreatie, zoals surfen, varen of het bezoeken van de beschermde zandplaten is ofwel verboden, ofwel zeer beperkt en alleen onder voorwaarden toegestaan.
Het gaat om de volgende vijf rustgebieden:  
Hinderplaat:                                      rust voor zeehond, grote stern en visdief 
Bollen van de Ooster:                     rust voor zeehond, zwarte zee-eend en grote stern 
Bollen van het Nieuwe Zand:        rust voor zwarte zee-eend 
Slikken van Voorne:                        rust voor steltlopers en eenden  
Middelplaat:                                     rust voor zeehond  
Het rustgebied Slikken van Voorne grenst direct aan het strand. 
De andere rustgebieden liggen verder op zee - op en rond ondiepe plaatsen in het water en droogvallende platen.
Door verschuiving van de zandplaten is er een nieuw rustgebied erbij gekomen in 2012, namelijk Middenplaat-Zuid.
Met betrekking tot het Bodembeschermingsgebied in de Voordelta.
Bodembeschermingsgebied Met de komst van de Tweede Maasvlakte -de uitbreiding van de Rotterdamse haven- verdwijnt voedselrijke zeebodem uit de Voordelta. Op de zeebodem leven planten en dieren waarmee zeehonden en vogels zich voeden. Omdat de Voordelta beschermd natuurgebied is, geldt de wettelijke verplichting om dit verlies aan voedselrijke zeebodem te compenseren. Beperkingen voor visserij Door de zeebodem extra rust te geven, kunnen bodemdieren en kleine visjes beter groeien. Zo worden vormen van visserij die de zeebodem ernstig verstoren uit het gebied geweerd. Een voorbeeld daarvan is de zware boomkorvisserij, waarbij de bodem met stalen kettingen wordt omgewoeld. Vismethodes waarbij gebruik wordt gemaakt van fuiken, staand want en zegen (lang net dat vissen insluit) mogen in het bodembeschermingsgebied gewoon blijven plaatsvinden. Voor bepaalde vormen van visserij is wel een Natuurbeschermingswetvergunning nodig. Het bodembeschermingsgebied blijft toegankelijk voor recreanten.</t>
  </si>
  <si>
    <t>Het Algemeen Dieptebestand IJsselmeergebied 2012 heeft als basis singlebeam overzichtslodingen aangevuld met vlakdekkende interferro en multibeam metingen en bevat de de meest recent bekende lodingsdata tot en met het desbetreffende jaar.</t>
  </si>
  <si>
    <t>Laseraltimetrie opname rivieroevers IJssel in de vorm van een grid met een resolutie van 2 meter waarbij de hoogtewaarde is opgenomen in centimeters . 
Voor verdere informatie zie kwaliteitsdocument.</t>
  </si>
  <si>
    <t>Overzicht van publicaties en documenten van de Rijksoverheid met verschillende toepasbare zoekfilters.</t>
  </si>
  <si>
    <t>Overzicht per beheerder met rapporten, brochures, folders etc. die op enigerlei wijze kunnen bijdragen aan het proces om te komen tot beheerplannen.</t>
  </si>
  <si>
    <t>Nakomen van nationale en internationale afspraken en verplichtingen inzake het meten van de waterkwaliteit. Dit bestand bevat raaien voor bemonstering op de Noordzee (tochtnr.16)</t>
  </si>
  <si>
    <t>Vaste vaarwegmarkeringen zijn aanstraalverlichting, bermverlichting, bordverlichting, havenlicht, heliverlichting, inogonbaken, kribbaken, lichtenlijn, lichtopstand, lichttoren, vuurtoren, luchtvaartverlichting, meetpaal, mistlichten, nautofoon, noodverlichting, oeverlicht, sectorlicht, sperlicht, stormseinmast, stuurlicht, verkeerssein, vogelverlichting, wadpaal</t>
  </si>
  <si>
    <t>Drijvende vaarwegmarkering of betonning om de vaarweg of daarin c.q. langs aanwezige omstandigheden aan te duiden.</t>
  </si>
  <si>
    <t>De informatieberichten vaarwegen informeren over scheepvaart relevante veranderingen in maatregelen zoals brugbediening en stremmingen.</t>
  </si>
  <si>
    <t>overgangswater en kustwateren en, voorzover het de chemische toestand betreft, ook territoriale wateren. De oppervlaktewaterlichamen zijn verdeeld in vier categori‰n: kustwater, overgangswater, rivieren en meren. Een waterlichaam kan natuurlijk, kunstmatig of sterk veranderd zijn. De Rijkswaterstaat Kaderrichtlijn Water oppervlaktewaterlichamen bevat de waterlichamen die in beheer zijn bij Rijkswaterstaat en is een onderdeel van het nationale bestand met KRW oppervlaktewaterlichamen waarin ook de oppervlaktewaterlichamen van waterschappen is opgenomen. Het nationale bestand KRW oppervlaktewaterlichamen wordt ontsloten via het Informatiehuis Water.</t>
  </si>
  <si>
    <t>Rijkswaterstaat Kaderrichtlijn Water oppervlaktewaterdelen (vlak). De oppervlaktewaterdelen zijn een onderverdeling van de Rijkswaterstaat Kaderrichtlijn Water oppervlaktewaterlichamen (vlak) in verschillende waterdelen conform de EU guidance 22: GIS guidance. Dit bestand bevat de oppervlaktewaterdelen in beheer van Rijkswaterstaat. Het nationale bestand met Kaderrichtlijn Water oppervlaktewaterdelen, waarin ook waterdelen van waterschappen zijn opgenomen, wordt ontsloten via het Informatiehuis Water</t>
  </si>
  <si>
    <t>Rijkswaterstaat Kaderrichtlijn Water oppervlaktewaterdelen (lijn). De oppervlaktewaterdelen zijn een onderverdeling van de Rijkswaterstaat Kaderrichtlijn Water oppervlaktewaterlichamen (vlak) in verschillende waterdelen conform de EU guidance 22: GIS guidance. Dit bestand bevat de oppervlaktewaterdelen in beheer van Rijkswaterstaat. Het nationale bestand met Kaderrichtlijn Water oppervlaktewaterdelen, waarin ook waterdelen van waterschappen zijn opgenomen, wordt ontsloten via het Informatiehuis Water</t>
  </si>
  <si>
    <t>De rijkswegen zijn onderverdeeld naar Planwegen (nrs. 1-99) en Planvervangende wegen (nrs. 200-857 en nr. 915). De informatie (wegnummer, wegdeelbenaming en begin- en eindhectometrering wordt per Regionale Dienst en per wegendistrict weergegeven op rijkswegnummer.</t>
  </si>
  <si>
    <t>Orthofotomozaiek Eroderende Maasoevers Falsecolour 2012 vervaardigd uit stereoluchtfoto opnamen op 02 Juni &amp; 20 Juli 2012 ter ondersteuning van  Fotolucht Eroderende Maasoevers monitoringsprgramma in opdracht van de Waterdienst.</t>
  </si>
  <si>
    <t>Laseraltimetrie opname 2012   "Zandmotor ".
Gebied:  Kust    Zuid-Holland
Gridbestanden  met een pixelgrootte  van  2 meter</t>
  </si>
  <si>
    <t>Gebieden die afwateren op de meren van het IJsselmeergebied.</t>
  </si>
  <si>
    <t>Hulpbestand heggen voor het vaststellen van onderhoud op de stroombaan. De Stroombaan is deel van onze wateren binnen de waterkerende dijken dat niet stroomluw is en dus waar de stroming plaats vindt. Deze baan is in principe glad om de stroming te bevorderen. Als vegetatietype wordt Gras en Akker na gestreefd.</t>
  </si>
  <si>
    <t>Hulpbestand doeltype ecotopen voor het vaststellen van onderhoud op de stroombaan. De Stroombaan is deel van onze wateren binnen de waterkerende dijken dat niet stroomluw is en dus waar de stroming plaats vindt. Deze baan is in principe glad om de stroming te bevorderen. Als vegetatietype wordt Gras en Akker na gestreefd.</t>
  </si>
  <si>
    <t>Het stroomluwe deel van de rivier is het deel van onze wateren dat eerder waterbergend als watervoerend is of waar het toezicht volgens de de Waterwet , de Waterschapswet , de Ontgrondingenwet en de Scheepvaartverkeerswet door de provincie of een waterschap plaatsvind.</t>
  </si>
  <si>
    <t>Stroomlijn is het project van Rijkswaterstaat om achterstallig onderhoud in de stroombaan van de rivieren, met een inhaalslag, weg te werken. De stroombaan is het deel van onze wateren binnen de waterkerende dijken dat niet stroomluw is en dus waar de stroming plaats vindt. Deze baan is in principe glad om de stroming te bevorderen. Als vegetatietype wordt Gras en Akker na gestreefd.</t>
  </si>
  <si>
    <t>De stroombaan is het deel van onze wateren binnen de waterkerende dijken dat niet stroomluw is en niet volgens de Waterwet art2a onder toezicht valt van Provincie of Waterschap. Deze baan is in principe glad om de stroming te bevorderen. Als vegetatietype wordt Gras en Akker na gestreefd.</t>
  </si>
  <si>
    <t>Hulpbestand waterkwantiteit uit gebieden Waterwet dat de buitengrens van vormt voor het werkgebied van het project Stroomlijn.</t>
  </si>
  <si>
    <t>Hulpbestand projectgebied(en) Ruimte voor de Rivier voor het vaststellen van projectgebeid Stroomlijn, de stroombaan plus het stroom luwe deel van de rivier binnen de waterkerende dijken. De Stroombaan is deel van onze wateren binnen de waterkerende dijken dat niet stroomluw is en dus waar de stroming plaats vindt. Deze baan is in principe glad om de stroming te bevorderen. Als vegetatietype wordt Gras en Akker na gestreefd.</t>
  </si>
  <si>
    <t>Hulpbestand projectgebied(en) Maaswerken voor het vaststellen van projectgebeid Stroomlijn, de stroombaan plus het stroom luwe deel van de rivier binnen de waterkerende dijken. De Stroombaan is deel van onze wateren binnen de waterkerende dijken dat niet stroomluw is en dus waar de stroming plaats vindt. Deze baan is in principe glad om de stroming te bevorderen. Als vegetatietype wordt Gras en Akker na gestreefd.</t>
  </si>
  <si>
    <t>Hulpbestand Ecologische Onderhoudscontracten en Prestatiecontracten voor het vaststellen van lopend onderhoud op de stroombaan. De Stroombaan is deel van onze wateren binnen de waterkerende dijken dat niet stroomluw is en dus waar de stroming plaats vindt. Deze baan is in principe glad om de stroming te bevorderen. Als vegetatietype wordt Gras en Akker na gestreefd.</t>
  </si>
  <si>
    <t>DTM t.b.v. project A27 Lunetten - Hooipolder</t>
  </si>
  <si>
    <t>Oostvaardersdijk ter hoogte van Oostvaardersplassen, het naviduct bij Enkhuizen, oever Medemblok, eiland Kreupel, haven langs Wieringermeerdijk, IJburg, Waterlandse kust. Tevens is de code van het Ketelmeer aangepast en is de kolom code2 (kopie van kolom code) verwijderd.</t>
  </si>
  <si>
    <t>Handleiding webtoets Afval of Grondstof.</t>
  </si>
  <si>
    <t>In de afvaldatabase kunnen cijfers gevonden worden over de inzameling van huishoudelijk afval van 1993 tot en met 2011</t>
  </si>
  <si>
    <t>Laseraltimetrie opname kribben Maas in de vorm van een grid met een resolutie van 0,5 meter waarbij de hoogtewaarde is opgenomen in meters.
Voor verdere informatie zie kwaliteitsdocument.</t>
  </si>
  <si>
    <t>De 7 KRW-waterlichamen van RWS-NZ. Een waterlichaam per deelstroomgebied (totaal 5) en 2 waterlichamen buiten de 12 mijlsgrens (niet behorende tot KRW). Grens landzijde is waterbeheersgrens RWS-NZ (met kleine afwijkingen daar waar afspraken met kust RWS-diensten zijn gemaakt). De 5 echte waterlichamen zijn onderverdeeld in 2 delen (A en B), waarbij A het kustwaterdeel (0 - 1 mijl) is en B het territoriaal deel (1 - 12 mijl) is.</t>
  </si>
  <si>
    <t>De shapefile bevat hyperlinks die verwijzen naar de helicopter luchtfoto's die gemaakt zijn op 21 juli 2009.
De volgende locaties zijn hierbij gefotografeerd: A2 Den Bosch - Zaltbommel, A2 randweg Eindhoven, A2 rondweg Den Bosch, A65 Vught - Tilburg, het Wilhelminakanaal, zoutopslag Breda en de Zuid-Willemsvaart.</t>
  </si>
  <si>
    <t>Bestaande en in aanbouw zijnde offshore windparken
De eerste twee windturbineparken die op de Noordzee werden gebouwd, zijn het offshore Windpark Egmond aan Zee (15 km uit de kust) en het Prinses Amalia Windpark (23 km uit de kust). Ze beslaan een oppervlakte van respectievelijk 26,8 en 16,6 km2. Op dit moment worden nog drie parken gebouwd: windpark Luchterduinen (Q10) op 23 km voor de Hollandse Kust en de parken Buitengaats en Zee-Energie op 60 km ten noorden van de Waddeneilanden (de zogenoemde Geminiparken).
Zie voor verdere informatie www.noordzeeloket.nl</t>
  </si>
  <si>
    <t>Overzicht van de vlieglijnen van de platen van de Westerschelde 2006
Dit is een hervlucht geweest
Verklaring van de attributen:
VLIEGDATUM = datum van opname</t>
  </si>
  <si>
    <t>De shapefile bevat hyperlinks die verwijzen naar de helicopter luchtfoto's die gemaakt zijn op 6 november 2012. De volgende locaties zijn hierbij gefotografeerd: A2 Het Groene Woud, A2 Einhoven - Den Bosch, A4 Steenbergen, Zuid Willemsvaart Den Bosch.</t>
  </si>
  <si>
    <t>Overzicht van de vlieglijnen van de platen van de Westerschelde 2012
Verklaring van de attributen:
VLIEGDATUM = datum van opname</t>
  </si>
  <si>
    <t>De shapefile bevat hyperlinks die verwijzen naar de helicopter luchtfoto's die gemaakt zijn op 6 juli 2010. De volgende locaties zijn hierbij gefotografeerd: A2 Den Bosch - Zaltbommel, A2 Het Groene Woud, A2 Leenderheide - grens Limburg, A2 Rondweg Den Bosch, A4 Steenbergen, A58 Ekkersrijt - Oirschot, Wilhelminakanaal, Zuid Willemsvaart.</t>
  </si>
  <si>
    <t>Zeeland grid week 1. Het Zeeland grid is een samengesteld dieptegrid wat gebaseerd is op de diepte informatie in de Inland ENC van Zeeland. Het grid is samengesteld uit +/- 1150 lodingen. Het daadwerkelijk aantal lodingen verschilt per uitgave van het Zeeland grid. De naukeurigheid is afhankelijk van het type loding ter plaatse, de meest nauwkeurige loding is de multibeam loding. Deze voldoen aan de IHO special order norm. Het gehele grid is geproduceerd in UTM(31) projectie en vervolgens getransformeerd naar R.D. De verticale referentie is het N.A.P. Door de transformatie van UTM naar RD treedt er een extra afwijking op in de bodemhoogte. Deze afwijking is nagenoeg random en voor iedere gridcel anders. Deze extra afwijking in de hoogte ligt voor 99% van het grid binnen de 15 cm. Bij een bodem met een zeer steile helling kan de afwijking oplopen tot 2m. Cellen met een zeer afwijkende diepte zijn altijd geïsoleerde gridcellen. In de omliggende gridcellen is de afwijking veel kleiner waardoor er wel een juist bodembeeld zichtbaar blijft. Het Zeelandgrid kan gebruikt worden als indicatief grid. Het is niet geschikt voor navigatie, voor controle van andere lodingen of voor volumeberekeningen. Dit door de transformatie van UTM31 naar RD.</t>
  </si>
  <si>
    <t>De shapefile bevat hyperlinks die verwijzen naar de helicopter luchtfoto's die gemaakt zijn op 14 september 2009.
De volgende locaties zijn hierbij gefotografeerd: A2 Den Bosch - Zaltbommel, A2 Het groene Woud, A2 randweg Eindhoven, A2 rondweg Den Bosch, A65 Vught - Tilburg.</t>
  </si>
  <si>
    <t>Overzicht van de vlieglijnen van kust2_2011
Gebied: "zandmotor" (gedeelte van de kust van Zuid-Holland)
Verklaring van de attributen:
VLIEGDATUM = datum van opname</t>
  </si>
  <si>
    <t>Laseraltimetrie opname 2011   " Zandmotor ".
Gebied:  Kust    Zuid-Holland
Gridbestanden  met een pixelgrootte  van  2 meter</t>
  </si>
  <si>
    <t>Overzicht vlieglijnen kust 2015. De data is verkregen middels laseraltimetrie. De inwinning vindt meerjarig plaats ten behoeve van het handhaven van de basiskustlijn van de gehele Nederlandse Kust.</t>
  </si>
  <si>
    <t>Zaaknummer 31074371. Laser Kust 2015 - 2m gefilterd grid per Top10 kaartblad. De data is verkregen middels laseraltimetrie. De inwinning vindt meerjarig plaats ten behoeve van het handhaven van de basiskustlijn van de gehele Nederlandse Kust.</t>
  </si>
  <si>
    <t>Laseraltimetrie hoogtegegevens van de Kust 2012  ingewonnen volgens RWS-voorschriften.
Meetdata:  17 - 1 - 2012       Zeeuws Vlaanderen , Walcheren en Noord Beveland en Oosterschelde Neeltje Jans
                      1 - 2 - 2012       Schouwen, Goeree en Voorne
                    31 - 1 - 2012 en 20 - 2 -2012    Delfland    en Rijnland
                    31 - 1 - 2012       Noord Holland
                    20 - 2 - 2012       Texel en Ameland
                    25 - 2 - 2012       Vlieland en Terschelling
                    22 - 3 - 2012       Schiermonnikoog</t>
  </si>
  <si>
    <t>Puntlokaties van helicopterfoto's zoals gevlogen in mei 2009</t>
  </si>
  <si>
    <t>Zeemonuimenten op de Noordzee, betreffende de Wrakken van ms Hoque en ms Aboukir.</t>
  </si>
  <si>
    <t>Verzameling van maritieme zones vanaf 2005 tot en met winter 2013. Deze verzameling bevat de volgende zoneringen: 0-1, 0-3, 0-6, 0-12 en 0-24 mijl.</t>
  </si>
  <si>
    <t>Verzameling van maritieme grenzen vanaf 2005 tot en met winter 2013. Deze verzameling bevat de volgende grenzen: 1, 3, 6, 12 en 24 mijlsgrenzen.</t>
  </si>
  <si>
    <t>Gebieden met kleinschalige vergunningen op de Noordzee betreffende: Mosselzaad, Garnalenvisserij, Zeewierkweek.</t>
  </si>
  <si>
    <t>Grenslijnen voor indeling beschutte gebieden op de Noordzee</t>
  </si>
  <si>
    <t>Deze shapefile bevat de hectometrering van de kanalen binnen de dienst Noord-Brabant (Wilhelminakanaal, Zuid-Willemsvaart, Noordervaart, Kanaal Wessem-Nederweert, Voedingskanaal, Markkanaal, Amertak, Donge, Oude Maasje en Zuiderkanaal).</t>
  </si>
  <si>
    <t>jan.kleinkranenburg@rwsleefomgeving.nl</t>
  </si>
  <si>
    <t>De overheid heeft de afgelopen jaren veel gedaan om de bodemkwaliteit van uw omgeving in kaart te brengen (via bodemonderzoek) of te herstellen (via bodemsanering). Bij het Bodemloket krijgt u hier inzicht in. Ook ziet u waar vroeger (bedrijfs)activiteiten hebben plaatsgevonden die extra aandacht verdienen. Als het nodig is, zullen we in de toekomst nog bodemonderzoek uitvoeren op deze locaties</t>
  </si>
  <si>
    <t>Het Algemeen Dieptebestand IJsselmeergebied 2013 heeft als basis singlebeam overzichtslodingen aangevuld met vlakdekkende interferro en multibeam metingen en bevat de de meest recent bekende lodingsdata tot en met het desbetreffende jaar.</t>
  </si>
  <si>
    <t>Overzicht van de vlieglijnen van de platen van de Westerschelde 2009
Verklaring van de attributen:
VLIEGDATUM = datum van opname</t>
  </si>
  <si>
    <t>Hoogtemodel van de platen in de Westerschelde in de vorm van een grid met een resolutie van 2 meter waarbij de hoogtewaarde is opgenomen in meters. 
Als er geen laserpunten in de buurt van een gridcel liggen blijft de cel leeg (de cel krijgt een "nodata" waarde).
Belangrijk om te weten is dat de waarde van een 2x2 meter gridcel wordt berekend uit meerdere laserpunten (het aantal is afhankelijk van de puntdichtheid van het basisbestand). Hierdoor neemt de invloed van de meetruis en uitschieters af en treedt er een lichte mate van vervlakking op.
Voor verdere informatie zie kwaliteitsdocument</t>
  </si>
  <si>
    <t>De shapefile bevat hyperlinks die verwijzen naar de helicopter luchtfoto's die gemaakt zijn op 4 april 2014. De volgende locaties zijn hierbij gefotografeerd: A4 Steenbergen, Zuid Willemsvaart, Maximakanaal, Meerenakkerweg Eindhoven, A2 Ecoduct Het Groene Woud, Wilhelminakanaal, A59 Drongelenskanaal, Spoortrac‚ Den Bosch, A58 kp Galder - kp St Annabosch, A58 kp De Baars - kp Batadorp.</t>
  </si>
  <si>
    <t>In het najaar van 2008 uitgevoerd onderzoek met de belangrijkste resultaten van de enquête onder gebruikers naar herkomsten, bestemmingen, voorkeuren, motieven, percentages van goederenvervoer in Randstad.</t>
  </si>
  <si>
    <t>Op deze website worden in opdracht van het Rijk gegevens gepresenteerd die relevant zijn voor de monitoring van lokaal en regionaal klimaatbeleid.</t>
  </si>
  <si>
    <t>Zaaknummer 31074371. Laser Kust 2014 - Vlieglijnen (shape) - Zandmotor. De data is verkregen middels laseraltimetrie. De inwinning vindt meerjarig plaats ten behoeve van het handhaven van de basiskustlijn van de gehele Nederlandse Kust.</t>
  </si>
  <si>
    <t>Zaaknummer 31074371. Laser Kust 2014 - 2m gefilterd grid.
 De data is verkregen middels laseraltimetrie. De inwinning vindt meerjarig plaats ten behoeve van het handhaven van de basiskustlijn van de gehele Nederlandse Kust.</t>
  </si>
  <si>
    <t>De shapefile bevat hyperlinks die verwijzen naar de helicopter luchtfoto's die gemaakt zijn op 03 oktober 2011. De volgende locaties zijn hierbij gefotografeerd: 
A2 Het Groene Woud
A2 Einhoven - Den Bosch
A2 Randweg Eindhoven
A2 Rondweg Den Bosch (Trace Vught)
A4 Steenbergen
A59 Vlijmen
A67 aansluiting Geldrop
A67 aansluiting Hapert-KBP
Knooppunt Galder
Knooppunt Hooipolder
N329 Oss
Spoortraverse 's-Hertogenbosch
Sluizen Oosterhout
Zuid Willemsvaart Den Bosch
Groote Wielen 's-Hertogenbosch</t>
  </si>
  <si>
    <t>Laseraltimetrie opname rivieroevers Waal in de vorm van een grid met een resolutie van 0,5 meter waarbij de hoogtewaarde is opgenomen in centimeters .
Voor verdere informatie zie kwaliteitsdocument.</t>
  </si>
  <si>
    <t>Laseraltimetrie opname rivieroevers Lek in de vorm van een grid met een resolutie van 0,5 meter waarbij de hoogtewaarde is opgenomen in centimeters .
Voor verdere informatie zie kwaliteitsdocument.</t>
  </si>
  <si>
    <t>Overzicht van de vlieglijnen van de platen van de Waddenzee 2012
Verklaring van de attributen:
VLIEGDATUM = datum van opname</t>
  </si>
  <si>
    <t>Waypoints die behoren bij de route van Tour d`Horizon welke jaarlijks op vrijwillige basis wordt gevlogen i.h.k van afspraken uit Bonn Agreement.
Deze vluchtroute/verkenningsvlucht is gericht op de Off-shore installaties( olie en gas) welke in de Noordzee staan en wordt uitgevoerd met een Kustwachtvliegtuig in opdracht van dienst Noordzee.</t>
  </si>
  <si>
    <t>Het NWB-Vaarwegen bevat alle bevaarbare waterwegen voor de beroeps- en recreatievaart in Nederland met een minimale doorvaarhoogte van 2,45 meter en een minimale diepgang van 1,10 meter. De vaarwegen worden in de oneven maanden ter beschikking gesteld. Updates van het NWB-vaarwegen worden eens per kwartaal uitgegeven.</t>
  </si>
  <si>
    <t>Site van de samenwerkende organisaties voor de Waddenzee. Beschrijving van het monitoringsprogramma TMAP</t>
  </si>
  <si>
    <t>Verzameling van excel bestanden met kostencijfers gesorteerd per vervoerstype.</t>
  </si>
  <si>
    <t>De shapefile bevat hyperlinks die verwijzen naar de helicopter luchtfoto's die gemaakt zijn op 3 februari 2014. De volgende locaties zijn hierbij gefotografeerd: A4 Steenbergen, Zuid Willemsvaart, Maximakanaal, Meerenakkerweg Eindhoven, A2 Ecoduct Het Groene Woud, Wilhelminakanaal, Drongelenskanaal.</t>
  </si>
  <si>
    <t>Overzicht van de vlieglijnen van kust2_2013
Gebied: "zandmotor" (gedeelte van de kust van Zuid-Holland)
Verklaring van de attributen:
VLIEGDATUM = datum van opname</t>
  </si>
  <si>
    <t>Zaaknummer 31074371. Laser Kust 2013 - 2m gefilterd grid. De data is verkregen middels laseraltimetrie. De inwinning vindt meerjarig plaats ten behoeve van het handhaven van de basiskustlijn van de gehele Nederlandse Kust.
Opnamedatum: 1 oktober 2013</t>
  </si>
  <si>
    <t>Werkvakken stortgebieden Zeeland</t>
  </si>
  <si>
    <t>Werkvakken bestortingen Zeeland</t>
  </si>
  <si>
    <t>Vroegere stortvakken Zeeland</t>
  </si>
  <si>
    <t>Vergunningen zandwingebieden Zeeland</t>
  </si>
  <si>
    <t>Vergunningen zandstortgebieden Zeeland</t>
  </si>
  <si>
    <t>Vakindeling van de Stort en loswallen op de Noordzee. Er zijn 2 soorten stort- en loswallen: vastgelegd mbv WBR vergunning incl. milieubesluiten en stort- loswallen die vastgelegd zijn binnen de baggercontracten. Deze laatste liggen voornamelijk in het kustfundament.</t>
  </si>
  <si>
    <t>Stort en loswallen op de Noordzee. Er zijn 2 soorten stort- en loswallen: vastgelegd mbv WBR vergunning incl. milieubesluiten en stort- loswallen die vastgelegd zijn binnen de baggercontracten. Deze laatste liggen voornamelijk in het kustfundament.</t>
  </si>
  <si>
    <t>Stortvakken in Zeeland.</t>
  </si>
  <si>
    <t>Selectie privaat percelen Zeeland</t>
  </si>
  <si>
    <t>Peilraaien Zeeland.</t>
  </si>
  <si>
    <t>Oeverwerken in Zeeland.</t>
  </si>
  <si>
    <t>Kabels en leidingen kruistend met water in Zeeland.</t>
  </si>
  <si>
    <t>Locaties met naam huurders van visserijperceel</t>
  </si>
  <si>
    <t>Hoekpunten van de stortvakken in Zeeland</t>
  </si>
  <si>
    <t>Aandachtgebieden Zeeland</t>
  </si>
  <si>
    <t>Gebieden met Mosselkweek, schelpdierenkweek en visserij</t>
  </si>
  <si>
    <t>Gebieden met duikverbod o.b.v. Natuur en Recreatie.</t>
  </si>
  <si>
    <t>Duiklocaties NOB 2008</t>
  </si>
  <si>
    <t>Gebieden Zeeland met waardering per gebied o.b.v. Thema</t>
  </si>
  <si>
    <t>Bijzondere (verdwenen) objecten in Zeeland.</t>
  </si>
  <si>
    <t>Bijzondere (verdwenen) lijnobjecten in Zeeland.</t>
  </si>
  <si>
    <t>Bijzondere aanwezige en verdwenen gebieden in Zeeland</t>
  </si>
  <si>
    <t>Orthofotomozaiek van Vegwad Westerschelde vervaardigd uit stereoluchtfoto opnamen op 17 &amp; 26 Oktober 2010 ter ondersteuning van het MWTL monitoringsprgramma in opdracht van de Waterdienst.</t>
  </si>
  <si>
    <t>De shapefile bevat hyperlinks die verwijzen naar de helicopter luchtfoto's die gemaakt zijn op 2 oktober 2014. De volgende locaties zijn hierbij gefotografeerd: A4 Steenbergen, A16, A27, RW65, Wilhelminakanaal, Zuid Willemsvaart.</t>
  </si>
  <si>
    <t>De markeerdieptekaart geeft overzicht van de minimale diepte t.o.v. LAT, die de veiligheid van de scheepvaart moet waarborgen binnen het begrenzing van het NCP.
Deze is per 01-08-2013 aangepast op het nieuwe verkeersscheidingsstelsel.</t>
  </si>
  <si>
    <t>Geeft een overzicht van de rijks- en provinciale wegen in Nederland.
Voor detail: zie legenda</t>
  </si>
  <si>
    <t>ÝLnight, het gemiddelde geluidsniveau van alle nachtperioden (23.00 tot 7.00 uur) van een jaar.    
De kleuren op de kaart laten zien wat de invloed is van een snelweg op de omgeving. Groen staat voor weinig geluid, paars voor veel geluid. Op de kaart is alleen het geluidsniveau opgenomen hoger dan 55 decibel. Lagere geluidsniveaus zijn niet weergegeven.
Op de kaart staan alle snelwegen die worden beheerd door Rijkswaterstaat. Geluidskaarten van andere wegen en andere geluidsbronnen zijn te vinden bij provincies en een aantal gemeenten.</t>
  </si>
  <si>
    <t>Gedigitaliseerde kust (grens droog-nat) van de kaart IJsselmeer e.o., Dieptekaart vervaardigd naar opmetingen van de Dienst der Zuiderzeewerken. De stempel op de kaart meldt: Directie van de Wieringermeer, Noordoostpolderwerken, archief Arch. Afd., Form C5, stamboeknr. 117082. Op deze kaart is de Wieringermeer ingepolderd en zijn Noordoostpolder en afsluitdijk ingetekend. De kaart is daarom waarschijnlijk van ca. 1935. De scan is voorzien van georeferentie volgens Rijksdriehoekstelsel (RD). De oorspronkelijke analoge kaart is in bezit van de Rijksdienst voor het Cultureel Erfgoed.</t>
  </si>
  <si>
    <t>Gedigitaliseerde dieptepunten van de kaart IJsselmeer e.o., Dieptekaart vervaardigd naar opmetingen van de Dienst der Zuiderzeewerken. De stempel op de kaart meldt: Directie van de Wieringermeer, Noordoostpolderwerken, archief Arch. Afd., Form C5, stamboeknr. 117082. Op deze kaart is de Wieringermeer ingepolderd en zijn Noordoostpolder en afsluitdijk ingetekend. De kaart is daarom waarschijnlijk van ca. 1935. De scan is voorzien van georeferentie volgens Rijksdriehoekstelsel (RD). De oorspronkelijke analoge kaart is in bezit van de Rijksdienst voor het Cultureel Erfgoed.Bodemdiepte in decimeter beneden NAP.</t>
  </si>
  <si>
    <t>Gedigitaliseerde dieptelijnen van de kaart IJsselmeer e.o., Dieptekaart vervaardigd naar opmetingen van de Dienst der Zuiderzeewerken. De stempel op de kaart meldt: Directie van de Wieringermeer, Noordoostpolderwerken, archief Arch. Afd., Form C5, stamboeknr. 117082. Op deze kaart is de Wieringermeer ingepolderd en zijn Noordoostpolder en afsluitdijk ingetekend. De kaart is daarom waarschijnlijk van ca. 1935. De scan is voorzien van georeferentie volgens Rijksdriehoekstelsel (NP). De oorspronkelijke analoge kaart is in bezit van de Rijksdienst voor het Cultureel Erfgoed.Bodemdiepte in decimeter beneden NAP.</t>
  </si>
  <si>
    <t>Bodemhoogtemodel van het IJsselmeergebied, bestaande uit een raster (100m x 100m). Bodemdiepte in centimeter t.o.v. NAP. Het model is berekend op basis van een scan van de kaart IJsselmeer e.o., Dieptekaart vervaardigd naar opmetingen van de Dienst der Zuiderzeewerken. De stempel op de kaart meldt: Directie van de Wieringermeer, Noordoostpolderwerken, archief Arch. Afd., Form C5, stamboeknr. 117082. Op deze kaart is de Wieringermeer ingepolderd en zijn Noordoostpolder en afsluitdijk ingetekend. De kaart is daarom waarschijnlijk van ca. 1935. De scan is voorzien van georeferentie volgens Rijksdriehoekstelsel op basis van de op de oorspronkelijke kaart aanwezige co”rdinaat-kruisen. De oorspronkelijke analoge kaart is in bezit van de Rijksdienst voor het Cultureel Erfgoed.</t>
  </si>
  <si>
    <t>Bestand met potentieel relevant areaal voor waterplanten in RWS oppervlaktewaterlichamen. De kaarten met het potentieel areaal KRW-kwaliteitselementen zijn gemaakt door de meest recente ecotopenkaarten van de verschillende deelgebieden aan elkaar te koppelen. Daarna is per ecotoop is beoordeeld of het potentieel areaal is voor de kwaliteitselementen waterplanten, oeverplanten, macrofauna en/of vis. Potentieel wil zeggen: als een ecotoop als areaal aangemerkt wordt, wil dit niet zeggen dat het betreffende kwaliteitselement ook daadwerkelijk aanwezig is, maar dat de waterdiepte en enkele andere factoren daarvoor geschikt zijn. Voor het zoute gaat het om potentieel areaal voor respectievelijk zeegras, kwelder/schor, kleine bodemdieren en vis. Bij vis zijn alleen de ecotopen gebruikt die van belang zijn voor paai- en opgroeigebieden. Dus de diepere wateren zijn bewust niet aan de vis toegekend.</t>
  </si>
  <si>
    <t>Bestand met potentieel relevant areaal voor vis in RWS oppervlaktewaterlichamen. De kaarten met het potentieel areaal KRW-kwaliteitselementen zijn gemaakt door de meest recente ecotopenkaarten van de verschillende deelgebieden aan elkaar te koppelen. Daarna is per ecotoop is beoordeeld of het potentieel areaal is voor de kwaliteitselementen waterplanten, oeverplanten, macrofauna en/of vis. Potentieel wil zeggen: als een ecotoop als areaal aangemerkt wordt, wil dit niet zeggen dat het betreffende kwaliteitselement ook daadwerkelijk aanwezig is, maar dat de waterdiepte en enkele andere factoren daarvoor geschikt zijn. Voor het zoute gaat het om potentieel areaal voor respectievelijk zeegras, kwelder/schor, kleine bodemdieren en vis. Bij vis zijn alleen de ecotopen gebruikt die van belang zijn voor paai- en opgroeigebieden. Dus de diepere wateren zijn bewust niet aan de vis toegekend.</t>
  </si>
  <si>
    <t>Bestand met potentieel relevant areaal voor oeverplanten in RWS oppervlaktewaterlichamen. De kaarten met het potentieel areaal KRW-kwaliteitselementen zijn gemaakt door de meest recente ecotopenkaarten van de verschillende deelgebieden aan elkaar te koppelen. Daarna is per ecotoop is beoordeeld of het potentieel areaal is voor de kwaliteitselementen waterplanten, oeverplanten, macrofauna en/of vis. Potentieel wil zeggen: als een ecotoop als areaal aangemerkt wordt, wil dit niet zeggen dat het betreffende kwaliteitselement ook daadwerkelijk aanwezig is, maar dat de waterdiepte en enkele andere factoren daarvoor geschikt zijn. Voor het zoute gaat het om potentieel areaal voor respectievelijk zeegras, kwelder/schor, kleine bodemdieren en vis. Bij vis zijn alleen de ecotopen gebruikt die van belang zijn voor paai- en opgroeigebieden. Dus de diepere wateren zijn bewust niet aan de vis toegekend.</t>
  </si>
  <si>
    <t>Bestand met potentieel relevant areaal voor macrofauna in RWS oppervlaktewaterlichamen. De kaarten met het potentieel areaal KRW-kwaliteitselementen zijn gemaakt door de meest recente ecotopenkaarten van de verschillende deelgebieden aan elkaar te koppelen. Daarna is per ecotoop is beoordeeld of het potentieel areaal is voor de kwaliteitselementen waterplanten, oeverplanten, macrofauna en/of vis. Potentieel wil zeggen: als een ecotoop als areaal aangemerkt wordt, wil dit niet zeggen dat het betreffende kwaliteitselement ook daadwerkelijk aanwezig is, maar dat de waterdiepte en enkele andere factoren daarvoor geschikt zijn. Voor het zoute gaat het om potentieel areaal voor respectievelijk zeegras, kwelder/schor, kleine bodemdieren en vis. Bij vis zijn alleen de ecotopen gebruikt die van belang zijn voor paai- en opgroeigebieden. Dus de diepere wateren zijn bewust niet aan de vis toegekend.</t>
  </si>
  <si>
    <t>De shapefile bevat hyperlinks die verwijzen naar de helicopter luchtfoto's die gemaakt zijn op 2 april 2013. De volgende locaties zijn hierbij gefotografeerd: A2 Het Groene Woud, A2 Einhoven - Den Bosch, A2 randweg Eindhoven, knooppunt De Hogt, RW65 Vught - Tilburg.</t>
  </si>
  <si>
    <t>De shapefile bevat hyperlinks die verwijzen naar de helicopter luchtfoto's die gemaakt zijn op 2 april 2012. De volgende locaties zijn hierbij gefotografeerd: A2 Het Groene Woud, A2 Einhoven - Den Bosch, A2 Rondweg Den Bosch (Trace Vught), A4 Steenbergen, Zuid Willemsvaart Den Bosch, Zuid Willemsvaart Veghel, randweg Eindhoven.</t>
  </si>
  <si>
    <t>Orthofotomozaiek van Rijntakken vervaardigd uit stereoluchtfoto opnamen op 1996 tot 1998 ter ondersteuning van Ecotopen monitoringsprogramma in opdracht van de Waterdienst</t>
  </si>
  <si>
    <t>Orthofotomozaiek van Maas vervaardigd uit stereoluchtfoto opnamen in 1996 ter ondersteuning van Ecotopen monitoringsprogramma in opdracht van de Waterdienst</t>
  </si>
  <si>
    <t>Orthofotomozaiek van Maas vervaardigd uit stereoluchtfoto opnamen op 1996 tot 1998 ter ondersteuning van Ecotopen monitoringsprogramma in opdracht van de Waterdienst</t>
  </si>
  <si>
    <t>Deze pagina geeft informatie over de  verwachtingen voor de Zeeuwse kust. Het gaat hierbij om informatie over waterstanden, wind en golven.</t>
  </si>
  <si>
    <t>De vaargeulen zoals beheerd door Rijkswaterstaat West-Nederland Zuid opgedeeld in vakken met gelijke Nautische Gegarandeerde Diepte (NGD) en onderhoudsdiepte.</t>
  </si>
  <si>
    <t>In kaart gebrachte risico’s per zwemwaterlocatie. Met name de fecale verontreinigingsbronnen en –routes op basis van indicatoren voor fecale verontreinigingen(Escherichia coli en intestinale enterococcen). Er zijn ook overige gezondheidsrisico’s in opgenomen.</t>
  </si>
  <si>
    <t>Overzicht van de vlieglijnen van kust_2011
Verklaring van de attributen:
VLIEGDATUM = datum van opname
STROOKNAAM = naam van het desbetreffende vlieglijn</t>
  </si>
  <si>
    <t>Hoogtemodel van de kust in de vorm van een grid met een resolutie van 5 meter waarbij de hoogtewaarde is opgenomen in meters. 
Laseraltimetrie hoogtegegevens ingewonnen volgens RWS voorschriften
(Waddeneilanden en Noord Holland zijn gevlogen tussen 20 jan 2011 en 20-2-2011)
(Delfland en Rijnland op 27 jan en 20 febr 2011)
Voorne op 13 febr 2011, Goeree en Schouwen op 8 febr 2011
Neeltje Jans, Walcheren , N-Beveland en Zeeuws Vlaanderen op 19 augustus 2011</t>
  </si>
  <si>
    <t>Laseraltimetrie opname rivieroevers Waal in de vorm van een grid met een resolutie van 2 meter waarbij de hoogtewaarde is opgenomen in centimeters . Voor verdere informatie zie kwaliteitsdocument</t>
  </si>
  <si>
    <t>Laseraltimetrie opname rivieroevers Pannerdens kanaal in de vorm van een grid met een resolutie van 2 meter waarbij de hoogtewaarde is opgenomen in centimeters .
 Voor verdere informatie zie kwaliteitsdocument.</t>
  </si>
  <si>
    <t>Compilages van laatst gemeten diepte gegevens in Zuid-Holland van 20109 - 2010. In deze service zijn hoogtelijnen opgenomen voor -6, -1 en -16 tov NAP. De hoogte informatie is voor het laatst geupdate met de dieptemetingen van november 2010.</t>
  </si>
  <si>
    <t>Overzicht van de vlieglijnen van kust_2010
Verklaring van de attributen:
VLIEGDATUM = datum van opname
FILENAAM = naam van het desbetreffende kustvak</t>
  </si>
  <si>
    <t>Orthofotomozaiek van de Oosterschelde, vervaardigd uit stereoluchtfotos opnamen op 01.08.2007 ter ondersteuning van  VEGWAD monitoringsprogramma in opdracht  van de Waterdienst</t>
  </si>
  <si>
    <t>Orthofotomozaiek van Het Zwin en Verdronken Zwarte Polder, vervaardigd uit stereoluchtfotos. Opnamen op 01.08.2007 ter ondersteuning van  VEGWAD monitoringsprogramma in opdracht  van de Waterdienst</t>
  </si>
  <si>
    <t>Monitoringsdata conform het Kader Richtlijn Marien monitoringsprogramma Mariene strategie deel II</t>
  </si>
  <si>
    <t>In samenwerking tussen NIS en CIV  is het nieuwe RWS regiogrenzen bestand tot stand gekomen.
De grenzen zijn o.a vervaardigd met behulp van diverse bronbestanden waaronder KernGis droog en BKN en zijn nu samengevoegd tot een landsdekkend bestand.
De voormalige natte en droge districten zijn dus nu samengevoegd. (Attribuut Sector = ND)
Bij bruggen en tunnels is het attribuut gescheiden in nat (N) en droog (D) en liggen als 2 vlakken op elkaar!
Mutaties kunnen bij het NEC worden aangemeld. Het NEC zorgt voor jaarlijkse actualisatie in het grenzenbestand.</t>
  </si>
  <si>
    <t>Serie aan referentiepunten waarop informatie geprojecteerd is, zoals bijvoorbeeld het geldende regime, hoogte-informatie en de GPP-waarde.</t>
  </si>
  <si>
    <t>Dit betreft de bevroren versie van het NIS. Het NIS ontvangt en publiceert periodiek een versie van het NWB. Deze wordt niet continu geactualiseerd. Kijk voor welke versie het betreft in de datum van de bron. 
Het spoorwegennet bevat alle spoorverbindingen die  onder beheer zijn van NS-Infrabeheer en die in gebruik zijn voor goederen- en personentransport.
Niet opgenomen zijn dus particuliere railverbindingen (op o.a. fabrieksterreinen ed, metro en tramlijnen)  In de loop van 2003 zijn ook de spoorverbindingen die nog voor recreatieve doeleinden worden gebruikt opgenomen.</t>
  </si>
  <si>
    <t>Serie aan rijlijnen waarop informatie geprojecteerd is, zoals bijvoorbeeld snelheden, wegdektype, verkeersgegevens en hoogte-informatie.</t>
  </si>
  <si>
    <t>Serie aan geluidwerende voorzieningen waarop informatie geprojecteerd is, zoals bijvoorbeeld het type, de ligging en de hoogte.</t>
  </si>
  <si>
    <t>Historische diepte van het zeegebied of een deel daarvan. De frequentie waarmee Rijkswaterstaat de bodemhoogtes inwint wisselt, omdat deze (mede) afhankelijk is van de ontwikkelingen in de bodemligging en het belang van een gebied voor het scheepvaartverkeer. Alle bodemhoogten van Rijkswaterstaat zijn beschikbaar als open data. Echter vanwege een lopende technische upgrade van het opslagsysteem dienen bodemhoogten op dit moment nog te worden aangevraagd via de servicedesk data (email: servicedesk-data@rws.nl ). Zodra de bodemhoogtes vrij via het internet gedownload kunnen worden zal dit op deze website worden vermeld.</t>
  </si>
  <si>
    <t>Historische diepte van de Waddenzee of een deel daarvan. De frequentie waarmee Rijkswaterstaat de bodemhoogtes inwint wisselt, omdat deze (mede) afhankelijk is van de ontwikkelingen in de bodemligging en het belang van een gebied voor het scheepvaartverkeer. Alle bodemhoogten van Rijkswaterstaat zijn beschikbaar als open data. Echter vanwege een lopende technische upgrade van het opslagsysteem dienen bodemhoogten op dit moment nog te worden aangevraagd via de servicedesk data (email: servicedesk-data@rws.nl ). Zodra de bodemhoogtes vrij via het internet gedownload kunnen worden zal dit op deze website worden vermeld.</t>
  </si>
  <si>
    <t>Historische diepte van de Schelden of een deel daarvan. De frequentie waarmee Rijkswaterstaat de bodemhoogtes inwint wisselt, omdat deze (mede) afhankelijk is van de ontwikkelingen in de bodemligging en het belang van een gebied voor het scheepvaartverkeer. Alle bodemhoogten van Rijkswaterstaat zijn beschikbaar als open data. Echter vanwege een lopende technische upgrade van het opslagsysteem dienen bodemhoogten op dit moment nog te worden aangevraagd via de servicedesk data (email: servicedesk-data@rws.nl ). Zodra de bodemhoogtes vrij via het internet gedownload kunnen worden zal dit op deze website worden vermeld.</t>
  </si>
  <si>
    <t>Historische diepte van rivieren of een deel daarvan. De frequentie waarmee Rijkswaterstaat de bodemhoogtes inwint wisselt, omdat deze (mede) afhankelijk is van de ontwikkelingen in de bodemligging en het belang van een gebied voor het scheepvaartverkeer. Alle bodemhoogten van Rijkswaterstaat zijn beschikbaar als open data. Echter vanwege een lopende technische upgrade van het opslagsysteem dienen bodemhoogten op dit moment nog te worden aangevraagd via de servicedesk data (email: servicedesk-data@rws.nl ). Zodra de bodemhoogtes vrij via het internet gedownload kunnen worden zal dit op deze website worden vermeld.</t>
  </si>
  <si>
    <t>Historische diepte van het kustgebied of een deel daarvan. De frequentie waarmee Rijkswaterstaat de bodemhoogtes inwint wisselt, omdat deze (mede) afhankelijk is van de ontwikkelingen in de bodemligging en het belang van een gebied voor het scheepvaartverkeer. Alle bodemhoogten van Rijkswaterstaat zijn beschikbaar als open data. Echter vanwege een lopende technische upgrade van het opslagsysteem dienen bodemhoogten op dit moment nog te worden aangevraagd via de servicedesk data (email: servicedesk-data@rws.nl ). Zodra de bodemhoogtes vrij via het internet gedownload kunnen worden zal dit op deze website worden vermeld.</t>
  </si>
  <si>
    <t>Historische diepte van kunstwerken of een deel daarvan. De frequentie waarmee Rijkswaterstaat de bodemhoogtes inwint wisselt, omdat deze (mede) afhankelijk is van de ontwikkelingen in de bodemligging en het belang van een gebied voor het scheepvaartverkeer. Alle bodemhoogten van Rijkswaterstaat zijn beschikbaar als open data. Echter vanwege een lopende technische upgrade van het opslagsysteem dienen bodemhoogten op dit moment nog te worden aangevraagd via de servicedesk data (email: servicedesk-data@rws.nl ). Zodra de bodemhoogtes vrij via het internet gedownload kunnen worden zal dit op deze website worden vermeld.</t>
  </si>
  <si>
    <t>MIRT Projectenboek voor het jaar 2014. 
http://mirt2014.mirtprojectenboek.nl/
LET OP: DE GETOONDE INFORMATIE IS ALLEEN GESCHIKT VOOR SCHAAL 1:500.000. BIJ INZOOMEN OP DE GEGEVENS KUNNEN AANZIENLIJKE AFWIJKINGEN ZICHTBAAR WORDEN TEN OPZICHTE VAN DE TOPOGRAFIE EN ANDERE KAARTLAGEN.
Als basis voor de MIRT-2014 lijnen bestanden is zoveel mogelijk gebruik gemaakt van het NWB-wegen, NWB-vaarwegen en NWB-spoorwegen. Begin- en eindpunt van de MIRT-2014 lijnen bestanden kunnen echter sterk afwijken van de werkelijke projectbegin- en eindpunten. Ook voor de MIRT-lijnen bestanden is de toepassingsschaal daarom 1: 500.000.
Er zijn MIRT-punten, -lijnen en -vlakken kaartlagen beschikbaar. Elk van deze kaartlagen is bovendien in 2 kleurvarianten aanwezig: 1 variant waarbij de kaartlagen zijn ingekleurd op basis van modaliteit (onder meer Hoofdwegen, Hoofdvaarwegen, Spoorwegen, Waterbeheren, Waterkeren, Integrale gebiedsopgaven) en 1 variant waarbij de kaartlagen zijn ingekleurd op basis van de fase waarin het MIRT-project verkeert (te weten Planstudie, Realisatie, Beheer en Onderhoud fase). De kaartlagen waarin "mirtnummer" voorkomt in de naam, bevatten het MIRTnummer zoals is toegekend door Staf DG van IenM.</t>
  </si>
  <si>
    <t>MIRT Projectenboek voor het jaar 2013.
http://mirt2013.mirtprojectenboek.nl/
LET OP: DE GETOONDE INFORMATIE IS ALLEEN GESCHIKT VOOR SCHAAL 1:500.000. BIJ INZOOMEN OP DE GEGEVENS KUNNEN AANZIENLIJKE AFWIJKINGEN ZICHTBAAR WORDEN TEN OPZICHTE VAN DE TOPOGRAFIE EN ANDERE KAARTLAGEN.
Als basis voor de MIRT-2013 lijnen bestanden is zoveel mogelijk gebruik gemaakt van het NWB-wegen, NWB-vaarwegen en NWB-spoorwegen. Begin- en eindpunt van de MIRT-2013 lijnen bestanden kunnen echter sterk afwijken van de werkelijke projectbegin- en eindpunten. Ook voor de MIRT-lijnen bestanden is de toepassingsschaal daarom 1: 500.000.
Er zijn MIRT-punten, -lijnen en -vlakken kaartlagen beschikbaar. Elk van deze kaartlagen is bovendien in 2 kleurvarianten aanwezig: 1 variant waarbij de kaartlagen zijn ingekleurd op basis van modaliteit (onder meer Hoofdwegen, Hoofdvaarwegen, Spoorwegen, Waterbeheren, Waterkeren, Integrale gebiedsopgaven) en 1 variant waarbij de kaartlagen zijn ingekleurd op basis van de fase waarin het MIRT-project verkeert (te weten Planstudie, Realisatie, Beheer en Onderhoud fase). De kaartlagen waarin "mirtnummer" voorkomt in de naam, bevatten het MIRTnummer zoals is toegekend door Staf DG van IenM.</t>
  </si>
  <si>
    <t>MIRT Projectenboek voor het jaar 2013. 
http://mirt2013.mirtprojectenboek.nl/
LET OP: DE GETOONDE INFORMATIE IS ALLEEN GESCHIKT VOOR SCHAAL 1:500.000. BIJ INZOOMEN OP DE GEGEVENS KUNNEN AANZIENLIJKE AFWIJKINGEN ZICHTBAAR WORDEN TEN OPZICHTE VAN DE TOPOGRAFIE EN ANDERE KAARTLAGEN.
Als basis voor de MIRT-2013 lijnen bestanden is zoveel mogelijk gebruik gemaakt van het NWB-wegen, NWB-vaarwegen en NWB-spoorwegen. Begin- en eindpunt van de MIRT-2013 lijnen bestanden kunnen echter sterk afwijken van de werkelijke projectbegin- en eindpunten. Ook voor de MIRT-lijnen bestanden is de toepassingsschaal daarom 1: 500.000.
Er zijn MIRT-punten, -lijnen en -vlakken kaartlagen beschikbaar. Elk van deze kaartlagen is bovendien in 2 kleurvarianten aanwezig: 1 variant waarbij de kaartlagen zijn ingekleurd op basis van modaliteit (onder meer Hoofdwegen, Hoofdvaarwegen, Spoorwegen, Waterbeheren, Waterkeren, Integrale gebiedsopgaven) en 1 variant waarbij de kaartlagen zijn ingekleurd op basis van de fase waarin het MIRT-project verkeert (te weten Planstudie, Realisatie, Beheer en Onderhoud fase). De kaartlagen waarin "mirtnummer" voorkomt in de naam, bevatten het MIRTnummer zoals is toegekend door Staf DG van IenM.</t>
  </si>
  <si>
    <t>MIRT Projectenboek voor het jaar 2012.
http://mirt2012.mirtprojectenboek.nl/
LET OP: DE GETOONDE INFORMATIE IS ALLEEN GESCHIKT VOOR SCHAAL 1:500.000. BIJ INZOOMEN OP DE GEGEVENS KUNNEN AANZIENLIJKE AFWIJKINGEN ZICHTBAAR WORDEN TEN OPZICHTE VAN DE TOPOGRAFIE EN ANDERE KAARTLAGEN.
Als basis voor de MIRT-2012 lijnen bestanden is zoveel mogelijk gebruik gemaakt van het NWB-wegen, NWB-vaarwegen en NWB-spoorwegen. Begin- en eindpunt van de MIRT-2012 lijnen bestanden kunnen echter sterk afwijken van de werkelijke projectbegin- en eindpunten. Ook voor de MIRT-lijnen bestanden is de toepassingsschaal daarom 1: 500.000.
Er zijn MIRT-punten, -lijnen en -vlakken kaartlagen beschikbaar. Elk van deze kaartlagen is bovendien in 2 kleurvarianten aanwezig: 1 variant waarbij de kaartlagen zijn ingekleurd op basis van modaliteit (onder meer Hoofdwegen, Hoofdvaarwegen, Spoorwegen, Waterbeheren, Waterkeren, Integrale gebiedsopgaven) en 1 variant waarbij de kaartlagen zijn ingekleurd op basis van de fase waarin het MIRT-project verkeert (te weten Planstudie, Realisatie, Beheer en Onderhoud fase). De kaartlagen waarin "mirtnummer" voorkomt in de naam, bevatten het MIRTnummer zoals is toegekend door Staf DG van IenM.</t>
  </si>
  <si>
    <t>MIRT Projectenboek voor het jaar 2012. 
http://mirt2012.mirtprojectenboek.nl/
LET OP: DE GETOONDE INFORMATIE IS ALLEEN GESCHIKT VOOR SCHAAL 1:500.000. BIJ INZOOMEN OP DE GEGEVENS KUNNEN AANZIENLIJKE AFWIJKINGEN ZICHTBAAR WORDEN TEN OPZICHTE VAN DE TOPOGRAFIE EN ANDERE KAARTLAGEN.
Als basis voor de MIRT-2012 lijnen bestanden is zoveel mogelijk gebruik gemaakt van het NWB-wegen, NWB-vaarwegen en NWB-spoorwegen. Begin- en eindpunt van de MIRT-2012 lijnen bestanden kunnen echter sterk afwijken van de werkelijke projectbegin- en eindpunten. Ook voor de MIRT-lijnen bestanden is de toepassingsschaal daarom 1: 500.000.
Er zijn MIRT-punten, -lijnen en -vlakken kaartlagen beschikbaar. Elk van deze kaartlagen is bovendien in 2 kleurvarianten aanwezig: 1 variant waarbij de kaartlagen zijn ingekleurd op basis van modaliteit (onder meer Hoofdwegen, Hoofdvaarwegen, Spoorwegen, Waterbeheren, Waterkeren, Integrale gebiedsopgaven) en 1 variant waarbij de kaartlagen zijn ingekleurd op basis van de fase waarin het MIRT-project verkeert (te weten Planstudie, Realisatie, Beheer en Onderhoud fase). De kaartlagen waarin "mirtnummer" voorkomt in de naam, bevatten het MIRTnummer zoals is toegekend door Staf DG van IenM.</t>
  </si>
  <si>
    <t>Als uitgezonderd (vlak) bestempeld in prestatiebestek van vaarwegen 1,2 en 3</t>
  </si>
  <si>
    <t>Als uitgezonderd (lijn) bestempeld in prestatiebestek van vaarwegen 1,2 en 3</t>
  </si>
  <si>
    <t>Stroomlijngebieden van vaarwegen 1,2 en 3 en hun status</t>
  </si>
  <si>
    <t>Als recreatiefgras bestempeld object in prestatiebestek van vaarwegen 1,2 en 3</t>
  </si>
  <si>
    <t>Contractobjecten (punten) van vaarwegen 1,2 en 3</t>
  </si>
  <si>
    <t>Contractgrens (lijnen) van vaarwegen 1,2 en 3</t>
  </si>
  <si>
    <t>Contractgrens van vaarwegen 1,2 en 3</t>
  </si>
  <si>
    <t>Puntlokaties van helicopterfoto's zoals gevlogen in juni 2008</t>
  </si>
  <si>
    <t>Polygonen van landen rond de Noordzee
Opmerking: De gegevens van de kustlijn zijn in WGS 1984 geleverd door Hydrografie. Doordat er in ArcGIS een transformatieproblematiek zich voordoet om van WGS 1984 naar ED50 goed geprojecteerd te krijgen, is de kwaliteit van deze dataset niet gegarandeerd. Er wordt thans bekeken hoe dit probleem op te lossen. Wij vragen u derhalve begrip voor deze kwestie.</t>
  </si>
  <si>
    <t>Een gebiedsschematisatie geeft voor een specifiek gebied informatie over de geometrie van het gebied, het gebruikte rooster, de randvoorwaarden, ruwheden, de aanwezigheid van lateralen en stuwen en andere model- en gebiedskenmerken.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 Gebiedsschematisaties is een verzamelnaam voor de verschillende bestanden die gezamenlijk met de bijbehorende rekensoftware, zoals SIMONA, SOBEK, SWAN, DELFT3D en HABITAT de basis vormen van een hydraulische, waterkwaliteits- en/of ecologische model. Deltares distribueert voor Rijkswaterstaat de gebiedsschematisaties van een groot deel van de Rijkswaterstaat-modellen.</t>
  </si>
  <si>
    <t>Gedigitaliseerde dieptepunten van de kaart  van de Zuiderzee uit 1905 met opschrift:  "Amsterdam, Seyffaerdt?s boekhandel. Herzien 1905 door S. Mars, Filiaal Inrichting a.h. Kon. Ned. Meteorol. Instituut te Amsterdam. Tevens dienende tot opheldering van Bom?s gids voor de Zuiderzee. De kaart is voorzien van een stempel met de vermelding "Rijksdienst voor de IJsselmeerpolders. Afd. Oudheidk. Bodemonderzoek, Form C5, stamboeknr. 117756" ( waarbij het numer slecht leesbaar is). De scan is voorzien van georeferentie volgens Rijksdriehoekstelsel. De oorspronkelijke analoge kaart is in bezit van de Rijksdienst voor het Cultureel Erfgoed. Bodemdiepte in decimeter t.o.v. gemiddeld laag water.</t>
  </si>
  <si>
    <t>Gedigitaliseerde dieptelijnen van de kaart  van de Zuiderzee uit 1905 met opschrift:  "Amsterdam, Seyffaerdt?s boekhandel. Herzien 1905 door S. Mars, Filiaal Inrichting a.h. Kon. Ned. Meteorol. Instituut te Amsterdam. Tevens dienende tot opheldering van Bom?s gids voor de Zuiderzee. De kaart is voorzien van een stempel met de vermelding "Rijksdienst voor de IJsselmeerpolders. Afd. Oudheidk. Bodemonderzoek, Form C5, stamboeknr. 117756" ( waarbij het numer slecht leesbaar is). De scan is voorzien van georeferentie volgens Rijksdriehoekstelsel (RD). De oorspronkelijke analoge kaart is in bezit van de Rijksdienst voor het Cultureel Erfgoed. Bodemdiepte in decimeter t.o.v. gemiddeld laag water.</t>
  </si>
  <si>
    <t>Bodemhoogtemodel van het IJsselmeergebied, bestaande uit een raster (100m x 100m). Bodemdiepte in centimeter t.o.v. gemiddeld laag water. Het model is berekend op basis van gedigitaliseerde gegevens vanaf een scan van De kaart  van de Zuiderzee uit 1905 met opschrift:  "Amsterdam, Seyffaerdt?s boekhandel. Herzien 1905 door S. Mars, Filiaal Inrichting a.h. Kon. Ned. Meteorol. Instituut te Amsterdam. Tevens dienende tot opheldering van Bom?s gids voor de Zuiderzee. De kaart is voorzien van een stempel met de vermelding "Rijksdienst voor de IJsselmeerpolders. Afd. Oudheidk. Bodemonderzoek, Form C5, stamboeknr. 117756" ( waarbij het numer slecht leesbaar is). De scan is voorzien van georeferentie volgens Rijksdriehoekstelsel (RD) op basis van de op de oorspronkelijke kaart aanwezige co”rdinaat-kruisen. De oorspronkelijke analoge kaart is in bezit van de Rijksdienst voor het Cultureel Erfgoed.</t>
  </si>
  <si>
    <t>Bestand is een gescande versie van een kaart van de Zuiderzee uit 1905 met opschrift:  "Amsterdam, Seyffaerdt?s boekhandel. Herzien 1905 door S. Mars, Filiaal Inrichting a.h. Kon. Ned. Meteorol. Instituut te Amsterdam. Tevens dienende tot opheldering van Bom?s gids voor de Zuiderzee. De kaart is voorzien van een stempel met de vermelding "Rijksdienst voor de IJsselmeerpolders. Afd. Oudheidk. Bodemonderzoek, Form C5, stamboeknr. 117756" ( waarbij het numer echter slecht leesbaar is). De scan is voorzien van georeferentie volgens Rijksdriehoekstelsel (RD). De oorspronkelijke analoge kaart is in bezit van de Rijksdienst voor het Cultureel Erfgoed.</t>
  </si>
  <si>
    <t>Een uniforme categorisering van wegvakken binnen het Hoofdwegennet, ?netwerkcategorie‰n?, gericht op:
Sturen op de prestatie van wegvakken in SLA en DBFM/andere contracten
Differenti‰ren en prioriteren in onderhoud, benutten, verkeersmanagement en specificaties voor aanleg
Transparantie, consistentie en uitlegbaarheid naar omgeving
Het bestand is het NWB wegvakkenbestand verrijkt met de betreffende netwerkcategorie waartoe deze behoort of deel van uitmaakt. De netwerkcategorieen zijn bepaald op bais van de Functie van het wegvak vanuit ruimtelijk economisch belang,
Feitelijk gebruik van het wegvak, met ook gewogen intensiteiten en de
Robuustheid van het netwerk</t>
  </si>
  <si>
    <t>Vaarwegmeubilair volgens Vamis indeling</t>
  </si>
  <si>
    <t>Vaarwegmeubilair Dienst Utrecht volgens datamodel Vamis</t>
  </si>
  <si>
    <t>Vaarwegmeubilair volgens de Vamis indeling</t>
  </si>
  <si>
    <t>Vaarwegmeubilair Dienst Noord Brabant volgens Vamis indeling</t>
  </si>
  <si>
    <t>Vaarwegmeubilair Dienst Limburg volgens Vamis indeling</t>
  </si>
  <si>
    <t>Vaarwegmeubilair Dienst IJsselmeergebied volgens Vamis indeling</t>
  </si>
  <si>
    <t>Het AHN is een hoogtebestand vervaardigd door middel van laseraltimetrie. Het AHN2 0,5 meter  ruwe raster, opgevuld is bedoeld als ruw bestand, waarbij zowel het maaiveld als de niet-maaiveld objecten (bomen, gebouwen, bruggen en andere objecten) vanuit de puntenwolk tot een 0,5 meter raster zijn herbemonsterd op basis van een Squared IDW methode. Er zijn geen verdere bewerkingen uitgevoerd.
Meer informatie vindt u op www.ahn.nl.</t>
  </si>
  <si>
    <t>secretariaatahn@hetwaterschapshuis.nl</t>
  </si>
  <si>
    <t>Het Actueel Hoogtebestand Nederland (AHN) is een hoogtebestand vervaardigd door middel van laseraltimetrie. Het AHN2 0,5 meter maaiveldraster, opgevuld is bedoeld als maaiveldbestand, waarbij alle niet-maaiveld objecten (bomen, gebouwen, bruggen en andere objecten) uit de puntenwolk zijn verwijderd en vervolgens tot een 0,5 meter raster zijn herbemonsterd op basis van een Squared IDW methode. Vervolgens zijn incidentele no-data cellen (maximaal 2 aansluitend) opgevuld. No-data cellen als gevolg van filtering (bijvoorbeeld gebouwen) zijn NIET opgevuld.</t>
  </si>
  <si>
    <t>Het Actueel Hoogtebestand Nederland (AHN) is een hoogtebestand vervaardigd door middel van laseraltimetrie. Het AHN2 0,5 meter maaiveldraster, niet-opgevuld is bedoeld als maaiveldbestand, waarbij alle niet-maaiveld objecten (bomen, gebouwen, bruggen en andere objecten) uit de puntenwolk zijn verwijderd en vervolgens tot een 0,5 meter raster zijn herbemonsterd op basis van een Squared IDW methode. Er zijn geen verdere bewerkingen uitgevoerd.
Meer informatie vindt u op www.ahn.nl.</t>
  </si>
  <si>
    <t>Rijkswaterstaat levert datasets in het kader van INSPIRE-directive. Dit is de beschrijving van datasetverzameling.</t>
  </si>
  <si>
    <t>Het Actueel Hoogtebestand Nederland (AHN) is een hoogtebestand vervaardigd door middel van laseraltimetrie. Van de gemeten hoogtes zijn een aantal producten gemaakt, welke grofweg zijn te verdelen in twee categorie�n; 3D-puntenwolken en rasters. De uitgefilterde puntenwolk is een niet-maaiveldbestand, het bevat alle niet-maaiveld objecten (bomen, gebouwen, bruggen en andere objecten) die uit de originele puntenwolk zijn gefilterd. NB Door samenvoeging van de gefilterde en de uitgefilterde puntenwolk wordt een ruwe puntenwolk verkregen, waarbij naast het maaiveld en de niet-maaiveldobjecten samenkomen. De puntenwolk is een LAZ file (een gecomprimeerde LAS file, ofwel LASzip). LAS is standaard binair formaat om LiDAR data op te slaan en uit te wisselen. Door de compressie toe te passen wordt de originele LAS file gereduceerd tot ca. 10% waarbij geen kwaliteitsverlies optreedt. Meer informatie vindt u op www.ahn.nl.</t>
  </si>
  <si>
    <t>Het Actueel Hoogtebestand Nederland (AHN) is een hoogtebestand vervaardigd door middel van laseraltimetrie. Van de gemeten hoogtes zijn een aantal producten gemaakt, welke grofweg zijn te verdelen in twee categorien; 3D-puntenwolken en rasters. De gefilterde puntenwolk is een maaiveldbestand, waarbij alle niet-maaiveld objecten (bomen, gebouwen, bruggen en andere objecten) uit de puntenwolk zijn verwijderd. Dit geldt niet voor stedelijke gebieden kleiner dan 1 km2, deze zijn in het bestand ongefilterd gebleven. NB Door samenvoeging van de gefilterde en de uitgefilterde puntenwolk wordt een ruwe puntenwolk verkregen, waarbij naast het maaiveld en de niet-maaiveldobjecten samenkomen. De puntenwolk is een LAZ file (een gecomprimeerde LAS file, ofwel LASzip). LAS is standaard binair formaat om LiDAR data op te slaan en uit te wisselen. Door de compressie toe te passen wordt de originele LAS file gereduceerd tot ca. 10% waarbij geen kwaliteitsverlies optreedt. 
Meer informatie vindt u op www.ahn.nl.</t>
  </si>
  <si>
    <t>Het Actueel Hoogtebestand Nederland (AHN) is een hoogtebestand vervaardigd door middel van laseraltimetrie. Het AHN1 25 meter maaiveld raster is bedoeld als maaiveldbestand en is herbemonsterd op basis van het 5 meter raster op basis van een ongewogen gemiddelde methode. Er zijn geen verdere bewerkingen uitgevoerd. Meer informatie vindt u op www.ahn.nl.</t>
  </si>
  <si>
    <t>Het Actueel Hoogtebestand Nederland (AHN) is een hoogtebestand vervaardigd door middel van laseraltimetrie. Het AHN1 25 meter maaiveld raster is bedoeld als maaiveldbestand en is herbemonsterd op basis van het 5 meter raster op basis van een ongewogen gemiddelde methode. Er zijn geen verdere bewerkingen uitgevoerd.
Meer informatie vindt u op www.ahn.nl.</t>
  </si>
  <si>
    <t>De vier Kaderrichtlijn Water stroomgebieddistricten  van Nederland (Maas, Schelde, Eems, Rijn) als vlakkenbestand.  
Attribuut naam en definitie (indien aanwezig):
FID 
Shape 
GAFIDENT = Code gebied 
GAFLIGIN = Code van grotere stroomgebied waar dit gebied in ligt 
GAFNAAM = Naam gebied 
GAFOPPVL = Oppervlakte in km2 
GAFSOORT = Soort gebied (10 = stroomgebieddistrict, 15 = deelgebied) 
GAFJAAR = Jaar waarin gebied vastgesteld of gewijzigd is 
GAFOMSCH= Omschrijving
COUNTRY = Duitsland: DE, Nederland: NL</t>
  </si>
  <si>
    <t>De vier Kaderrichtlijn Water stroomgebieddistricten  van Nederland (Maas, Schelde, Eems, Rijn) als lijnenbestand.  
Attribuut naam en definitie (indien aanwezig):
FID 
Shape 
GAFIDENT = Code gebied 
GAFLIGIN = Code van grotere stroomgebied waar dit gebied in ligt 
GAFNAAM = Naam gebied 
GAFOPPVL = Oppervlakte in km2 
GAFSOORT = Soort gebied (10 = stroomgebieddistrict, 15 = deelgebied) 
GAFJAAR = Jaar waarin gebied vastgesteld of gewijzigd is 
GAFOMSCH= Omschrijving
COUNTRY = Duitsland: DE, Nederland: NL</t>
  </si>
  <si>
    <t>De zeven deelstroomgebieden Kaderrichtlijn Water Nederland (Maas, Schelde, Eems, Rijn-Noord, Rijn-Midden, Rijn-Oost, Rijn-West) als vlakkenbestand.  De Duitse delen van Rijndelta zijn ook opgenomen. 
Attribuut naam en definitie (indien aanwezig):
FID 
Shape 
GAFIDENT = Code gebied 
GAFLIGIN = Code van grotere stroomgebied waar dit gebied in ligt 
GAFNAAM = Naam gebied 
GAFOPPVL = Oppervlakte in km2 
GAFSOORT = Soort gebied (10 = stroomgebieddistrict, 15 = deelgebied) 
GAFJAAR = Jaar waarin gebied vastgesteld of gewijzigd is 
GAFOMSCH= Omschrijving
COUNTRY = Duitsland: DE, Nederland: NL</t>
  </si>
  <si>
    <t>De zeven deelstroomgebieden Kaderrichtlijn Water Nederland (Maas, Schelde, Eems, Rijn-Noord, Rijn-Midden, Rijn-Oost, Rijn-West) als lijnenbestand.  De Duitse delen van Rijndelta zijn ook opgenomen. 
Attribuut naam en definitie (indien aanwezig):
FID 
Shape 
GAFIDENT = Code gebied 
GAFLIGIN = Code van grotere stroomgebied waar dit gebied in ligt 
GAFNAAM = Naam gebied 
GAFOPPVL = Oppervlakte in km2 
GAFSOORT = Soort gebied (10 = stroomgebieddistrict, 15 = deelgebied) 
GAFJAAR = Jaar waarin gebied vastgesteld of gewijzigd is 
GAFOMSCH= Omschrijving
COUNTRY = Duitsland: DE, Nederland: NL</t>
  </si>
  <si>
    <t>Het Actueel Hoogtebestand Nederland (AHN) is een hoogtebestand vervaardigd door middel van laseraltimetrie. Van de gemeten hoogtes zijn een aantal producten gemaakt, welke grofweg zijn te verdelen in twee categorie�n; 3D-puntenwolken en rasters. De uitgefilterde puntenwolk is een niet-maaiveldbestand, het bevat alle niet-maaiveld objecten (bomen, gebouwen, bruggen en andere objecten) die uit de originele puntenwolk zijn verwijderd. NB Door samenvoeging van de gefilterde en de uitgefilterde puntenwolk wordt een ruwe puntenwolk verkregen, waarbij naast het maaiveld en de niet-maaiveldobjecten samenkomen. De puntenwolk is een LAZ file (een gecomprimeerde LAS file, ofwel LASzip). LAS is standaard binair formaat om LiDAR data op te slaan en uit te wisselen. Door de compressie toe te passen wordt de originele LAS file gereduceerd tot ca. 10% waarbij geen kwaliteitsverlies optreedt. Meer informatie vindt u op www.ahn.nl.</t>
  </si>
  <si>
    <t>Het Actueel Hoogtebestand Nederland (AHN) is een hoogtebestand vervaardigd door middel van laseraltimetrie. Van de gemeten hoogtes zijn een aantal producten gemaakt, welke grofweg zijn te verdelen in twee categorie�n; 3D-puntenwolken en rasters. De gefilterde puntenwolk is een maaiveldbestand, waarbij alle niet-maaiveld objecten (bomen, gebouwen, bruggen en andere objecten) uit de puntenwolk zijn verwijderd. NB Door samenvoeging van de gefilterde en de uitgefilterde puntenwolk wordt een ruwe puntenwolk verkregen, waarbij naast het maaiveld en de niet-maaiveldobjecten samenkomen. De puntenwolk is een LAZ file (een gecomprimeerde LAS file, ofwel LASzip). LAS is standaard binair formaat om LiDAR data op te slaan en uit te wisselen. Door de compressie toe te passen wordt de originele LAS file gereduceerd tot ca. 10% waarbij geen kwaliteitsverlies optreedt. Meer informatie vindt u op www.ahn.nl.</t>
  </si>
  <si>
    <t>Vaarwegmeubilair Dienst Noord-Holland volgens de Vamis indeling</t>
  </si>
  <si>
    <t>Het product WKD0112-s op wegvakdelen bevat maximumsnelheden soms geldend voor een geheel wegvak, soms voor een deel van een wegvak. Het wordt ingezet in de datacirkel Beter benutten. Het bestaat uit een shapefile met alle wegvakken uit de NWB-wegenlaag, geldend op een bepaalde peildatum (daarmee de versie van het BN bepalend) En bestaat uit een tekstbestand waarin de snelheden geldig op peildatum, gekoppeld aan de gekozen versie van het BN-wegen zijn opgenomen.</t>
  </si>
  <si>
    <t>De kartering is vervaardigd volgens de methodiek 3de cyclus Ecotopen. Aanpassingen voor het programma Natuurvriendelijke oevers Maas zijn beschreven in de toelichting "Monitoring vegetatiestructuur en oeverlijn Eroderende oevers Maas 2009". Als basis voor de kartering is de fotovlucht d.d. 2 en 21 juni 2012  (infrarood) gebruikt, gevlogen op schaal 1:5000 met een grondresolutie van 6 cm.
Naast de vegetatiestructuur is ook de 'bovenkant talud' en de 'bovenzijde erosierand' vastgelegd.</t>
  </si>
  <si>
    <t>De kartering is vervaardigd volgens de methodiek 3de cyclus Ecotopen. Aanpassingen voor het programma Natuurvriendelijke oevers Maas zijn beschreven in de toelichting "Monitoring vegetatiestructuur en oeverlijn Eroderende oevers Maas 2009". Als basis voor de kartering is de fotovlucht d.d. 2 en 21 juni 2012 (infrarood) gebruikt, gevlogen op schaal 1:5000 met een grondresolutie van 6 cm.
Naast de vegetatiestructuur is ook de 'bovenkant talud' en de 'bovenzijde erosierand' vastgelegd.</t>
  </si>
  <si>
    <t>De kartering is vervaardigd volgens de methodiek 3de cyclus Ecotopen. Aanpassingen voor het programma Natuurvriendelijke oevers Maas zijn beschreven in de toelichting "Monitoring vegetatiestructuur en oeverlijn Eroderende oevers Maas 2009". Als basis voor de kartering is de fotovlucht d.d. 25 mei 2011 (infrarood) gebruikt, gevlogen op schaal 1:5000 met een grondresolutie van 6 cm.
Naast de vegetatiestructuur is ook de 'bovenkant talud' en de 'bovenzijde erosierand' vastgelegd.</t>
  </si>
  <si>
    <t>De ligging van de 21 locaties die opgenomen zijn in het Monitoringsprogramma "Natuurvriendelijke oevers Maas". 
De begrenzing van de locaties is ruim genomen, zodat TOT NU TOE, alle datasets binnen deze grenzen vallen. 
Deze feature wordt gebruikt bij het monitoren van de vegetatiestructuur, steilranden en taluds middels fotobeelden.
Het geeft een indruk van de ligging van de locaties binnen de Mapviewer. 
Bij gebruik van deze feature moet gecontroleerd worden of de betreffende dataset binnen de begrenzingen liggen.</t>
  </si>
  <si>
    <t>Weggegevens van Rijkswegen onderverdeeld in 3 soorten te weten: referentie t.b.v wegkenmerken: weggegr-wgg0112-r-0; wegkenmerken met geometrie op wegvakniveau: weggegw-wgg0112-w-0; wegkenmerken met geometrie op kenmerkniveau: weggegk-wgg0112-k-0.</t>
  </si>
  <si>
    <t>Weggegevens van Rijkswegen onderverdeeld in 3 soorten te weten: referentie t.b.v
wegkenmerken: weggegr-wgg0112-r-0; wegkenmerken met
geometrie op wegvakniveau: weggegw-wgg0112-w-0; wegkenmerken met
geometrie op kenmerkniveau: weggegk-wgg0112-k-0.</t>
  </si>
  <si>
    <t>De snelheid die aangeraden wordt per  rijrichting op een bepaalde lokatie van een wegvak, uitgedrukt in km/uur.</t>
  </si>
  <si>
    <t>wegkenmerken met
geometrie op kenmerkniveau: weggegk-wgg0112-k-0.
Doelgroepstroken zijn stroken gescheiden van de hoofdrijbaan, uitsluitend voor vrachtverkeer en bussen.</t>
  </si>
  <si>
    <t>Het spoorwegennet bevat alle spoorverbindingen die  onder beheer zijn van NS-Infrabeheer en die in gebruik zijn voor goederen- en personentransport.
Niet opgenomen zijn dus particuliere railverbindingen (op o.a. fabrieksterreinen ed, metro en tramlijnen)  In de loop van 2003 zijn ook de spoorverbindingen die nog voor recreatieve doeleinden worden gebruikt opgenomen.
Het NWB-spoorwegen wordt eens per kwartaal geactualiseerd.</t>
  </si>
  <si>
    <t>Indeling van een vaarweg(deel) naar karakter (rivier, kanaal, geul e.d.).</t>
  </si>
  <si>
    <t>Traject dat nautisch beheerd wordt door een beheerder.</t>
  </si>
  <si>
    <t>Typering van vaarwegen op basis van mate van economisch belang van de vervoersstroom.</t>
  </si>
  <si>
    <t>Overzicht van de loodsregio's.</t>
  </si>
  <si>
    <t>Status van de vaarweg.</t>
  </si>
  <si>
    <t>Deel van de vaarweg, waaraan een bepaalde receatievaartklasse is toegekend aan de hand van de klasse-indeling van het recreatie--toervaartnet volgens de BRTN (Beleidsvisie Recreatie Toervaart in Nederland).</t>
  </si>
  <si>
    <t>De in reglementen opgenomen grootste toegestane lengte, breedte, diepte en hoogte (bij streefpeil of bij een opgegeven waterstand) van een vaartuig op de vaarweg of in de haven.
Notatie:
De max. toegestane afmetingen moeten altijd uit een reglement komen.
In onderstaande figuur zijn de maximale toegestane afmetingen weergegeven.</t>
  </si>
  <si>
    <t>Het officiele peil van de meest voorkomende waterstand op een vaarweg of in een haven ten opzichte van NAP.
Notatie:
De perioden waarvoor de zomer- en winterpeilen gelden, worden vermeld onder het kenmerk Bijzonderheid onder de kop Streefpeil.</t>
  </si>
  <si>
    <t>Een door de vaarwegbeheerder aangewezen deel van een vaarweg, waarvoor geldt dat het ijscentrum hiervoor de toestand van waargenomen ijsvorming kan opgeven.</t>
  </si>
  <si>
    <t>De snelheid die aangeraden wordt per rijrichting op een bepaalde lokatie van een wegvak, uitgedrukt in km/uur.</t>
  </si>
  <si>
    <t>Wegen welke toegankelijk zijn voor verschillende categorien weggebruikers. De volgende soorten wegcategorie formeel worden geregistreerd en getoond in kolom OMSCHR: 1. autosnelweg, 2. autoweg, 3. weg gesloten voor langzaam verkeer, 4. weg gesloten voor (brom)fietsers, 5. weg voor alle verkeer (gemengd verkeer).</t>
  </si>
  <si>
    <t>Op grond van de uiterlijke verschijningsvorm van de weg, kan er bij de weggebruiker een fictief beeld ontstaan ten aanzien van het verkeerspatroon van de weg, met name waar dit de samenstelling van het verkeer en de snelheid betreft. De volgende soorten wegcategorie formeel worden geregistreerd en getoond in kolom OMSCHR: 1. autosnelweg, 2. autoweg, 3. weg gesloten voor langzaam verkeer, 4. weg gesloten voor (brom)fietsers, 5. weg voor alle verkeer (gemengd verkeer). Zie voor een beschrijving Hoofdstuk Wegcategorie formeel. In de meeste gevallen, zal de beleving door de weggebruiker overeenkomen met de wegcategorie formeel. Als echter de beleving van een andere orde is dan de wegcategorie formeel, dan kan dit aanleiding geven tot onveilige situaties. Bijvoorbeeld: Als de verkeersdeelnemer met een hogere snelheid gaat rijden - qua beleving - dan in de gegeven omstandigheden verantwoord is, of op het bedoelde wegvak weggebruikers voorkomen, die NIET worden verwacht, bijvoorbeeld landbouwverkeer. Dit kenmerk wordt toegevoegd op basis van bovengenoemde (mogelijke) invloeden op het verkeersgedrag. De interpretatie van degene die dit kenmerk registreert is uiteraard altijd subjectief. Het subjectieve karakter van dit kenmerk impliceert dat de waarde van dit kenmerk ook met die achtergrond moet worden bekeken. Er zijn een aantal kenmerken, waarvan de aan- of afwezigheid een belangrijke rol speelt bij de bepaling van de beleving van een wegdeel. Als voorbeeld worden enkele situaties geschetst: NOTE: Er wordt maximaal maar een categorie hoger opgenomen, bijvoorbeeld: weg gesloten voor langzaam verkeer voldoet aan de specificaties van autoweg dan wordt deze laatste als categorie naar beleving opgenomen.</t>
  </si>
  <si>
    <t>wegkenmerken met geometrie op kenmerkniveau: weggegk-wgg0112-k-0. Doelgroepstroken zijn stroken gescheiden van de hoofdrijbaan, uitsluitend voor vrachtverkeer en bussen.</t>
  </si>
  <si>
    <t>Een plaats, waar de vaarweg is verbreed met als doel schepen de gelegenheid te geven te keren.</t>
  </si>
  <si>
    <t>Hierbij zijn de schommelingen van de waterstand ten opzichte van het streefpeil (kanaal-, stuw-en meerpeil) vermeld, die gelden voor een bepaald traject van de vaarweg</t>
  </si>
  <si>
    <t>Hierbij zijn de gemiddelde waterstanden t.o.v. NAP bij een plaats vermeld, welke van invloed zijn op (een bepaald traject van) de vaarweg (in getijgebieden of langs rivieren).</t>
  </si>
  <si>
    <t>Het trajectgegeven van een vaarweg of haven wat valt binnen een VTS sector.</t>
  </si>
  <si>
    <t>Een object, uitgezonderd een brug, sluiscomplex of hoogspanningslijn, welke een beperking geeft aan het gebruik van de vaarweg.</t>
  </si>
  <si>
    <t>Plaats, niet zijnde een haven, ingericht om met een schip af te meren of voor anker te liggen.</t>
  </si>
  <si>
    <t>Een punt op een IVS-traject dat een relatie heeft met een IVS-blok. Elk blok bestaat uit minimaal 2 (koppel)punten. Om diverse operationele of technische redenen (bv: koppelpunten halverwege een blok!) wordt een blok soms in meerdere stukken ?gehakt? door het invoeren/configureren van (tussen)punten.</t>
  </si>
  <si>
    <t>Inzamelpunt.</t>
  </si>
  <si>
    <t>Een hoogspanningskabel die de vaarweg kruist.
In onderstaand figuur is een voorbeeld van de veilige doorvaarthoogte t.o.v. het streefpeil weergegeven.</t>
  </si>
  <si>
    <t>Een beschutte wateroppervlakte waar vaartuigen kunnen laden en lossen of een ligplaats vinden.</t>
  </si>
  <si>
    <t>Aanwijzing voor de ligging van het bodemvlak t.o.v. NAP of streefpeil. Bij sommige vaarwegen kan hier dus een waarde van plus NAP zijn ingevuld.
In verband met de snel wijzigende bodemligging van geulen in getijgebieden kan de in ViN opgenomen diepte van deze vaarwegen afwijken van de actuele situatie. Dit geldt tevens voor een aantal rivieren waarvan de bodemligging vrijwel continu verandert na een hoogwaterperiode. Voor de actuele dieptegegevens van deze vaarwegen dient u contact op te nemen met de vaarwegbeheerders.
Notatie:
Indien er sprake is van een zomer- en een winterpeil dan is de diepte altijd opge geven t.o.v. het win ter peil</t>
  </si>
  <si>
    <t>Een voorziening voor de levering van brandstof en mogelijk ook scheepsbenodigd-heden aan de beroepsvaart.</t>
  </si>
  <si>
    <t>Een al dan niet beweegbare constructie over een vaarweg of haven ten dienste van wegverkeer, spoorwegverkeer en/of ander verkeer (fietsers, voetgangers e.d.).</t>
  </si>
  <si>
    <t>Deze dataset maakt onderdeel uit van het door de CIV aan het NIS periodiek geleverde "DVM Areaalbestand" De CIV stelt dit bestand samen uit de volgende bronnen: 
- DVM-areaalgegevens uit ExpertDesk
- DVM-areaalgegevens uit een excelbestand dat handmatig door de districten wordt ingevuld.
- DVM-areaalgegevens over AutoDRIP's die worden aangeleverd door de Corporate Dienst.</t>
  </si>
  <si>
    <t>Het jaar van de deklaagplanning en jaar van de verhardingstechnische planning(VHT) uit de MeerJarenPlanVerhardingsonderhoud (MJPV) afkomstig uit IVON2, opgesplitst naar Levensverlengend Onderhoud (LVO) en Grootschalig Onderhoud (GO).</t>
  </si>
  <si>
    <t>Het betreft de NIS-levering van januari 2016.
De Beheerkaart Nat is een geografisch bestand ten behoeve van de natte districten van Rijkswaterstaat en het NIS. Het betreft een landelijk dekkend gedetailleerd beheerobjectenbestand op grootschalig niveau (1:1000). 
In de Beheerkaart Nat zijn de volgende lagen te onderscheiden: 
Bodem (vlakken)
Exploitatie (vlakken)
Kunstwerken (punten, lijnen, vlakken)
Oevers (lijnen, vlakken)
Verkeersvoorzieningen (punten, vlakken)
Water (punten, vlakken)</t>
  </si>
  <si>
    <t>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145.000 kilometer gedigitaliseerde wegvakken (in aantal +/-825000). Het NWB-Wegen wordt maandelijks gepubliceerd.</t>
  </si>
  <si>
    <t>NWB Wegen light is het NWB Wegen op geaggregeerd niveau. Het NWB-light kan worden gezien als een uitbreiding van het route-systeem behorend bij het product NWB Wegen. Het kan dus gebruikt worden om informatie (uit tabellen) op basis van wegnummer en hectometrering te koppelen en presenteren op het NWB. Voor het gebruik van het NWB-light is enige kennis van de begrippen "routebouw" en "dynamic segmentation" vereist . De term "light" is gekozen omdat het detail-niveau van het netwerk, waarvan het routesysteem is afgeleid, sterk vereenvoudigd is vergeleken met dat van het standaard routesysteem. Het netwerk van het NWB-light bevat namelijk géén verbindingswegen of ingewikkelde kruisingen: elke weg wordt slechts weergegeven door één enkele lijn en elke kruising, hoe ingewikkeld ook, is weergegeven door slechts één knooppunt. Deze opzet maakt koppeling van gegevens zeer eenvoudig en is met name bedoeld voor het maken van middenschalige kaartjes, dus van een dienstkring, directie, provincie of geheel Nederland. Het algoritme dat is gebruikt om het NWB-light te bouwen maakt gebruik van het oorspronkelijke hectopunten-bestand van het NWB wegen en werkt globaal als volgt: op basis van de XY-coördinaten van de locatie van de hectometerpaaltjes van de hoofdrijbaan wordt het middelpunt bepaald. Vervolgens worden deze punten voor de betreffende weg door een lijn verbonden en wordt er een route-sleutel aan toegevoegd (het nummer van de weg). Het NWB-light is gemaakt voor alle gehectometreerde (rijks- en provinciale-) wegen in shape-formaat inclusief route-key. Voor gemeentelijke wegen is dit product niet mogelijk, aangezien gemeentelijke wegen niet gehectometreerd zijn. Het bestand zal elke maand worden afgeleid van de maand-levering van het product "NWB wegen in Arc Info Coverage" en worden meegeleverd met het product "NWB wegen met routesyteem in ArcInfo Coverage". Het NWB-light zélf wordt in ESRI-Shape-formaat uitgeleverd, waarbij in een aparte kolom het attribuut "wegbeheerder" is opgenomen. Mutaties op het product worden niet geleverd. In verband hiermee is de toepassing van het NWB-light bij arbeidsintensieve bedrijfsprocessen en/of bedrijfskritische omgevingen af te raden. NWB Wegen: Het NWB-Wegen bestand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148.000 kilometer gedigitaliseerde wegvakken (in aantal +/-945000). Het NWB-Wegen wordt 12 keer per jaar geactualiseerd.</t>
  </si>
  <si>
    <t>NWB Wegen light is het NWB Wegen op geaggregeerd niveau. Het NWB-light kan worden gezien als een uitbreiding van het route-systeem behorend bij het product NWB Wegen. Het kan dus gebruikt worden om informatie (uit tabellen) op basis van wegnummer en hectometrering te koppelen en presenteren op het NWB. Voor het gebruik van het NWB-light is enige kennis van de begrippen routebouw en dynamic segmentation vereist. De term light is gekozen omdat het detail-niveau van het netwerk, waarvan het routesysteem is afgeleid, sterk vereenvoudigd is vergeleken met dat van het standaard routesysteem. Het netwerk van het NWB-light bevat namelijk geen verbindingswegen of ingewikkelde kruisingen: elke weg wordt slechts weergegeven door een enkele lijn en elke kruising, hoe ingewikkeld ook, is weergegeven door slechts een knooppunt. Deze opzet maakt koppeling van gegevens zeer eenvoudig en is met name bedoeld voor het maken van middenschalige kaartjes, dus van een district, directie, provincie of geheel Nederland. Het algoritme dat is gebruikt om het NWB-light te bouwen maakt gebruik van het oorspronkelijke hectopunten-bestand van het NWB wegen en werkt globaal als volgt: op basis van de XY-coordinaten van de locatie van de hectometerpaaltjes van de hoofdrijbaan wordt het middelpunt bepaald. Vervolgens worden deze punten voor de betreffende weg door een lijn verbonden en wordt er een route-sleutel aan toegevoegd (het nummer van de weg). Het NWB-light is gemaakt voor alle gehectometreerde (rijks- en provinciale-) wegen in shape-formaat inclusief route-key. Voor gemeentelijke wegen is dit product niet mogelijk, aangezien gemeentelijke wegen niet gehectometreerd zijn. Het bestand zal elke maand worden afgeleid van de maand-levering van het product NWB wegen in Arc Info Coverage en worden meegeleverd met het product NWB wegen met routesyteem in ArcInfo Coverage. Het NWB-light zelf wordt in ESRI-Shape-formaat uitgeleverd, waarbij in een aparte kolom het attribuut wegbeheerder is opgenomen. Mutaties op het product worden niet geleverd. In verband hiermee is de toepassing van het NWB-light bij arbeidsintensieve bedrijfsprocessen en/of bedrijfskritische omgevingen af te raden. NWB Wegen: Het NWB-Wegen bestand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148.000 kilometer gedigitaliseerde wegvakken (in aantal plusminus 945000). Het NWB-Wegen wordt 12 keer per jaar geactualiseerd.</t>
  </si>
  <si>
    <t>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148.000 kilometer gedigitaliseerde wegvakken (in aantal +/-945000). Het NWB-Wegen wordt 12 keer per jaar gepubliceerd.</t>
  </si>
  <si>
    <t>Het NWB-Vaarwegen bevat alle bevaarbare waterwegen voor de beroeps- en recreatievaart in Nederland met een minimale doorvaarhoogte van 2,45 meter en een minimale diepgang van 1,10 meter. De vaarwegen worden in de oneven maanden door CIV beschikbaar gesteld. Updates van het NWB-vaarwegen worden eens per kwartaal uitgegeven.</t>
  </si>
  <si>
    <t>Het spoorwegennet bevat alle spoorverbindingen die  onder beheer zijn van NS-Infrabeheer en die in gebruik zijn voor goederen- en personentransport.
Niet opgenomen zijn dus particuliere railverbindingen (op o.a. fabrieksterreinen ed, metro en tramlijnen) In de loop van 2003 zijn ook de spoorverbindingen die nog voor recreatieve doeleinden worden gebruikt opgenomen.
Het NWB-spoorwegen wordt eens per kwartaal geactualiseerd.</t>
  </si>
  <si>
    <t>Het spoorwegennet bevat alle spoorverbindingen die  onder beheer zijn van NS-Infrabeheer en die in gebruik zijn voor goederen- en personentransport.
Niet opgenomen zijn dus particuliere railverbindingen ( op o.a. fabrieksterreinen ed, metro en tramlijnen )  In de loop van 2003 zijn ook de spoorverbindingen die nog voor recreatieve doeleinden worden gebruikt opgenomen.
Het NWB-spoorwegen wordt eens per kwartaal geactualiseerd.</t>
  </si>
  <si>
    <t>Het spoorwegennet bevat alle spoorverbindingen die onder beheer zijn van NS-Infrabeheer en die in gebruik zijn voor goederen- en personentransport.
Niet opgenomen zijn dus particuliere railverbindingen (op o.a. fabrieksterreinen ed, metro en tramlijnen)  In de loop van 2003 zijn ook de spoorverbindingen die nog voor recreatieve doeleinden worden gebruikt opgenomen.
Het NWB-spoorwegen wordt eens per kwartaal geactualiseerd.</t>
  </si>
  <si>
    <t>Vaste markeringen</t>
  </si>
  <si>
    <t>en-UK</t>
  </si>
  <si>
    <t>Drijvende markeringen</t>
  </si>
  <si>
    <t>Het bestand geRegistreerde Ongevallen Nederland is een bestand met de ongevallenmeldingen van de politie gekoppeld aan het digitale wegennet (het Nationale Wegenbestand, NWB). Met dit product kunt u verschillende verkeersveiligheidsanalyses voor uw beheersgebied uitvoeren en is in het bijzonder geschikt voor: - beleid (formuleren, monitoren, evalueren), - onderzoek en - wegbeheer.</t>
  </si>
  <si>
    <t>Deze rapporten zijn het resultaat van een initiatief van het Ministerie van Infrastructuur en Milieu (Rijkswaterstaat), de Unie van Waterschappen en het Interprovinciaal Overleg. In de rapporten staan de belangrijkste bevindingen ten aanzien van het overstromingsrisico van het betreffende dijkringgebied en de mogelijke gevolgen hiervan, en een beschrijving van de effecten van dijkversterking en/of rivierverruiming</t>
  </si>
  <si>
    <t>Het trajectgegeven van een vaarweg of haven wat valt binnen een Vessel Traffic Service (VTS) sector of werkingsgebied.</t>
  </si>
  <si>
    <t>Hierbij zijn de schommelingen van de waterstand ten opzichte van het streefpeil (kanaal-, stuw-en meerpeil) vermeld, die gelden voor een bepaald traject van de vaarweg.</t>
  </si>
  <si>
    <t>Het officiele peil van de meest voorkomende waterstand op een vaarweg of in een haven ten opzichte van NAP. Notatie: De perioden waarvoor de zomer- en winterpeilen gelden, worden vermeld onder het kenmerk Bijzonderheid onder de kop Streefpeil.</t>
  </si>
  <si>
    <t>Erkend inzamelpunt van de stichting scheepsafvalstoffen binnenvaart (SAB) voor de inzameling en verwerking van bilgewater, afgewerkte olie, koel-vloeistof, schroefasvet, poetsdoeken, oliefilters en lege vaten.</t>
  </si>
  <si>
    <t>MTA staat voor Maximale Toegestane Afmetingen. Algemene benaming voor een gedeelte van een vaarweg waarvan de scheepvaartgegevens geregistreerd moeten worden.</t>
  </si>
  <si>
    <t>LRG staat voor loodsregio. LRG-traject is de algemene benaming voor een gedeelte van een vaarweg waarvan de scheepvaartgegevens geregistreerd moeten worden.</t>
  </si>
  <si>
    <t>Informatie- en Volgsysteem voor de Scheepvaart (IVS). Een IVS-punt is een punt op een IVS-traject. Elk IVS-punt heeft een relatie met een IVS-blok. Elk blok bestaat uit minimaal 2 (koppel)punten. IVS-traject is de algemene benaming voor een gedeelte van een vaarweg waarvan de scheepvaartgegevens geregistreerd moeten worden. Om diverse operationele of technische redenen (bv: koppelpunten halverwege een blok!) wordt een blok soms in meerdere stukken “gehakt” door het invoeren/configureren van (tussen)punten.</t>
  </si>
  <si>
    <t>Een hoogspanningskabel die de vaarweg kruist. In onderstaand figuur is een voorbeeld van de veilige doorvaarthoogte t.o.v. het streefpeil weergegeven.</t>
  </si>
  <si>
    <t>Aanwijzing voor de ligging van het bodemvlak t.o.v. NAP of streefpeil. Bij sommige vaarwegen kan hier dus een waarde van plus NAP zijn ingevuld. In verband met de snel wijzigende bodemligging van geulen in getijgebieden kan de in ViN opgenomen diepte van deze vaarwegen afwijken van de actuele situatie. Dit geldt tevens voor een aantal rivieren waarvan de bodemligging vrijwel continu verandert na een hoogwaterperiode. Voor de actuele dieptegegevens van deze vaarwegen dient u contact op te nemen met de vaarwegbeheerders. Notatie: Indien er sprake is van een zomer- en een winterpeil dan is de diepte altijd opge geven t.o.v. het win ter peil</t>
  </si>
  <si>
    <t>Punten van de verzorgingsplaatsen in het RWS areaal met de belangrijkste kenmerken. De informatie is afkomstig uit het nwb wegvakken bestand (Baansubsoortcode: PKP, PKB,BST,VB) aangevuld met informatie uit KernGIS, inventarisatieonderzoeken en de districten. Dit bestand wordt door het NIS gebruikt als bron voor de areaaltabel.</t>
  </si>
  <si>
    <t>Een uniforme categorisering van wegvakken binnen het Hoofdwegennet, ?netwerkcategorie‰n?, gericht op:
Sturen op de prestatie van wegvakken in SLA en DBFM/andere contracten
Differenti‰ren en prioriteren in onderhoud, benutten, verkeersmanagement en specificaties voor aanleg
Transparantie, consistentie en uitlegbaarheid naar omgeving
Het bestand is het NWB vaarwegvakkenbestand verrijkt met de betreffende categorie waartoe deze behoort of deel van uitmaakt. De categorieen zijn bepaald op bais van de Functie van het vaarwegvak vanuit ruimtelijk economisch belang,</t>
  </si>
  <si>
    <t>Het NWB-Wegen van het NIS is een bevroren versie van het NWB en wordt perdiodiek geactualiseerd. Zie datum van de bron welke bevroren versie dit betreft.
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145.000 kilometer gedigitaliseerde wegvakken (in aantal +/-825000).</t>
  </si>
  <si>
    <t>waarin x de bedekkingspercentage en y de biomassa in gram asvrij drooggewicht per m2 zijn;
?	bedekking en biomassa van Zostera spec. in oude karteringen waarin beide zeegrassoorten niet zijn onderscheiden.
Deze database is samengesteld uit twee soorten bronbestanden: 
1.	gridbestanden die zijn ingewonnen m.b.v. de rastermethode;
2.	vergridde bronbestanden: bestanden die zijn ingewonnen volgens de vlakkenmethode en t.b.v. invoering in de database zijn omgezet naar gridbestanden.
Uitgebreidere informatie over de zeegrasdata is te vinden op de RWS.nl : http://rws.nl/water/natuur_en_milieu/zeegras/meer_weten/   Zoek naar Metadatabijsluiter</t>
  </si>
  <si>
    <t>Alle gescande waterstaatskaarten van Nederland zijn samengevoegd tot ‚‚n groot landelijk geo-gerefereerd ecw-bestand. 
De randschriften met de beschrijvingen  zijn apart opgeslagen en via een muisklik via services oproepbaar.
Voor verdere informatie over deze kaarten: zie document in beschrijvende documentatie</t>
  </si>
  <si>
    <t>Overzicht van de vlieglijnen van de platen van de Westerschelde 2007
Verklaring van de attributen:
VLIEGDATUM = datum van opname</t>
  </si>
  <si>
    <t>Orthofotomozaiek van de Westerschelde, vervaardigd uit digitale stereoluchtfoto opnamen. Het westelijk deel van de Westerschelde is gevlogen in 2010, in opdracht van Dienst Zeeland (DZL) ten behoeve van de Geomorfologie.</t>
  </si>
  <si>
    <t>infrarood orthofoto voor ecotopenkartering.
De opnamen zijn gemaakt op 20 mei 2010.</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</si>
  <si>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Pannerdensch Kanaal, Neder-Rijn, Lek, Nieuwe Maas, Scheur en Nieuwe Waterweg / [Rijkswaterstaat]. - Schaal 1:10.000. - ['s-Gravenhage : Topografische Inrichting, 1920-1931?]. - 1 serie in 10 bladen ; lithografie ; diverse formaten. Titel ontleend aan kaartblad 2 Pannerden (noord). Datering gebaseerd op kaartinhoud. De kaartbladen ook in gemonteerde vorm.</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</si>
  <si>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Boven-Rijn, Waal, Boven- en Beneden Merwede, Noord, Dordtsche Kil, Oude Maas, Spui, Brielsche Nieuwe Maas / [Rijkswaterstaat]. - Schaal 1:10.000. - ['s-Gravenhage : Topografische Inrichting, 1920-1931]. - 1 serie in 12 bladen : lithografie ; diverse formaten. Titel ontleend aan kaartblad 13 Hardinxveld (oost). Verschillende bladen niet gedateerd. De kaartbladen ook in gemonteerde vorm.</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</si>
  <si>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IJssel, Ganzendiep en Goot, Zwarte Water / [Rijkswaterstaat]. - [Tweede herziening]. - ['s-Gravenhage: Staatsdrukkerij, 1927-1933]. ('s-Gravenhage; Delft: Topografische Inrichting: Topografische Dienst). - 1 serie in 35 bladen: lithografie; diverse formaten. Titel ontleend aan blad 1 Westervoort (noord). De dektitels langs de bovenzijde van de kaart variëren.</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</si>
  <si>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Afgedamde Maas, Boven- en Beneden-Merwede, Bergsche Maas, Amer, Biesbosch, Hollandsch Diep, Haringvliet en gedeelte Volkerak / [Rijkswaterstaat]. -[ 's-Gravenhage: Staatsdrukkerij, 1933-1960] (Delft: Topografische Dienst). - 1 serie in 53 bladen: lithografie; diverse formaten. Auteursvermeldingen en impressie variëren. De dektitels langs de bovenzijde van de kaart variëren. Enkele kaartbladen in combinatie met andere series.</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</si>
  <si>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Pannerdensch Kanaal, Neder-Rijn, Lek, Nieuwe Maas, Scheur, Nieuwe Waterweg / [Rijkswaterstaat]. - Schaal 1:5.000 / 1:10.000. - [Tweede herziening]. - ['s-Gravenhage : Staatsdrukkerij, 1914-1961] ('s -Gravenhage; Delft: Topografische Inrichting: Topografische Dienst). - 1 serie in 31 bladen: lithografie; diverse formaten. Titel ontleend aan kaartblad 1 Herwen. Voor blad 2 zie de opgave bij serie II van de "Vassenherziening" . Auteursvermeldingen en impressie variëren. De kaartbladen 15-29 op de schaal 1:5.000. De kaartbladen op de schalen 1:10.000 en 1:5.000 komen ook als aparte serie voor. De dektitels langs de bovenzijde van de kaart variëren. Enkele kaartbladen in combinatie met andere series. Enkele bladen 3e en 4e uitgave. Dit mozaiek bevat de extra uitgaven van deze serie.</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</si>
  <si>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Hollandsche IJssel c.a. / [Rijkswaterstaat]. - Schaal 1:5.000. - ['s-Gravenhage: Staatsdrukkerij, 1933-1954] (Delft: Topografische Dienst). - 1 serie in 14 bladen: lithografie; diverse formaten. De dektitels langs de bovenzijde van de kaart variëren. Van de meeste bladen een 3e en 4e uitgave. Enkele kaartbladen in combinatie met andere series. Dit mozaiek bevat de extra uitgaven van deze serie.</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</si>
  <si>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Hollandsche IJssel c.a. / [Rijkswaterstaat]. - Schaal 1:5.000. - ['s-Gravenhage: Staatsdrukkerij, 1933-1954] (Delft: Topografische Dienst). - 1 serie in 14 bladen: lithografie; diverse formaten. De dektitels langs de bovenzijde van de kaart variëren. Van de meeste bladen een 3e en 4e uitgave. Enkele kaartbladen in combinatie met andere series.</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</si>
  <si>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Pannerdensch Kanaal, Neder-Rijn, Lek, Nieuwe Maas, Scheur, Nieuwe Waterweg / [Rijkswaterstaat]. - Schaal 1:5.000 / 1:10.000. - [Tweede herziening]. - ['s-Gravenhage : Staatsdrukkerij, 1914-1961] ('s -Gravenhage; Delft: Topografische Inrichting: Topografische Dienst). - 1 serie in 31 bladen: lithografie; diverse formaten. Titel ontleend aan kaartblad 1 Herwen. Voor blad 2 zie de opgave bij serie II van de "Vassenherziening" . Auteursvermeldingen en impressie variëren. De kaartbladen 15-29 op de schaal 1:5.000. De kaartbladen op de schalen 1:10.000 en 1:5.000 komen ook als aparte serie voor. De dektitels langs de bovenzijde van de kaart variëren. Enkele kaartbladen in combinatie met andere series. Enkele bladen 3e en 4e uitgave.</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</si>
  <si>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Bovenrijn, Waal, Boven- en Beneden Merwede, Dordsche Kil, Oude Maas, Noord, Brielsche Nieuwe Maas / [Rijkswaterstaat]. - Schaal 1:10.000. - [Tweede herziening]. - ['s-Gravenhage ; Delft : Topografische Inrichting : Topografische Dienst, 1914-1961]. - 1 serie in 35 bladen : lithografie ; diverse formaten. Titel ontleend aan kaartblad Lobith. 1917. De dektitels langs de bovenzijde van de kaart variëren. Auteursvermeldingen en impressie variëren. Enkele kaartbladen in combinatie met andere series. Enkele bladen met 2e, 3e, 4e, 5e gedeeltelijke 5e, en 6e uitgave. Dit mozaiek bevat de extra uitgaven van deze serie.</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</si>
  <si>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Bovenrijn, Waal, Boven- en Beneden Merwede, Dordsche Kil, Oude Maas, Noord, Brielsche Nieuwe Maas / [Rijkswaterstaat]. - Schaal 1:10.000. - [Tweede herziening]. - ['s-Gravenhage ; Delft : Topografische Inrichting : Topografische Dienst, 1914-1961]. - 1 serie in 35 bladen : lithografie ; diverse formaten. Titel ontleend aan kaartblad Lobith. 1917. De dektitels langs de bovenzijde van de kaart variëren. Auteursvermeldingen en impressie variëren. Enkele kaartbladen in combinatie met andere series. Enkele bladen met 2e, 3e, 4e, 5e gedeeltelijke 5e, en 6e uitgave.</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</si>
  <si>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Hollandsche IJssel / [Rijkswaterstaat]. - Schaal 1:2.500. - [Eerste herziening]. - ['s-Gravenhage: Topographische Inrichting, 1902-1924]. -1 serie in 15 bladen : lithografie ; diverse formaten. Enkele bladen met latere herdruk. Aan de legger is toegevoegd een Schetskaart van de rivier de Hollandsche IJssel. - Schaal 1:25.000. -'s-Gravenhage : N.V. Wed. Ahrend &amp; Zoon, [z.j.]. Deze kaart behoort echter zeer waarschijnlijk niet tot de legger.</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</si>
  <si>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Maas en Bregsche Maas / [Rijkswaterstaat]. - Schaal 1:10.000. - [Eerste herziening]. - ['s-Gravenhage : Topografische Inrichting, 1908-1914]. - 1 serie in 9 bladen : lithografie ; diverse formaten. De dektitels langs de bovenzijde van de kaart variëren.</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</si>
  <si>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Oude Maas, Amer, Hollandsch Diep en Haringvliet / [Rijkswaterstaat]. - Schaal 1:10.000. - [Eerste herziening]. - ['s-Gravenhage : Topografische Inrichting, 1884-1886]. - 1 serie in 13 bladen : lithografie ; diverse formaten. De dektitels langs de bovenzijde van de kaart variëren.</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</si>
  <si>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IJssel en Zwarte Water / [Rijkswaterstaat]. - Schaal 1:10.000. - [Eerste herziening]. - ['s-Gravenhage: Topografische Inrichting, 1877-1909]. - 1 kaartserie in 20 bladen : lithografie ; diverse formaten. De dektitels langs de bovenzijde van de kaart variëren.</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</si>
  <si>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Boven Rijn, Neder Rijn, Lek, Nieuwe Maas, Scheur en Nieuwe Waterweg / [Rijkswaterstaat]. - Schaal 1:10.000. - [Eerste herziening]. - ['s-Gravenhage : Topografische Inrichting, 1873-1907]. - 1 serie in 32 bladen : lithografie ; verschillende formaten. De dektitels langs de bovenzijde van de kaart variëren. Enkele kaartbladen in combinatie met andere series. Enkele bladen met tweede uitgave. In de bibliotheek van de Meetkundige Dienst (Bibliotheek 179) een ingebonden exemplaar van de bladen 17-22 (allen 2e uitgave). Titel op de omslag "Rivierkaart Nieuwe Maas 2e herziening" [sic!].</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</si>
  <si>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Herziene kaart van de rivieren Boven Rijn, Waal, Merwede, Noord, Dordsche Kil, Oude Maas, Spui en Nieuwe Maas / [Rijkswaterstaat]. - Schaal 1:10.000. - [Eerste herziening]. - ['s-Gravenhage: Topografische Inrichting, 1873-1914]. - 1 serie in 29 bladen : lithografie ; diverse formaten. Zoals ook uit de bladverdeling blijkt kent deze serie naast de bladen 17 (Heerjansdam) en 18 (Heinenoord), ook twee andere bladen met deze nummering: 17 (Krimpen a/d Lek; 1e en 2e uitgave) en 18 (Moerdijk). De dektitels langs de bovenzijde van de kaart variëren. Enkele kaartbladen in combinatie met andere series. Enkele bladen met tweede uitgave.</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</si>
  <si>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Kaart van de rivier de Hollandsche IJssel van Gouda tot IJsselmonde: in drie bladen / op last van Zijne Excellentie den Minister van Binnenlandsche Zaken, onder directie van den Hoofd-Inspecteur van den Waterstaat L.J.A. van der Kun ; opgemeten en vervaardigd door de landmeters bij de Algemeene dienst van den Waterstaat E. Olivier Dz. en J. Leijds. - [Delft:: Algemeene Dienst van den Waterstaat, 1859-1860] Delft: Topographisch Bureau en Drukkerij van het Departement van Oorlog). - 1 kaartserie in 3 bladen, in kleur: lithografie; diverse formaten. Bladwijzer en toelichting op de samenstelling van de kaart op het eerste kaartblad.</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</si>
  <si>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Kaart van de rivieren de Oude en Nieuwe Merwede en de killen in het Bergsche Veld: in negen bladen / op last van Zijne Excellentie den Minister van Binnenlandsche Zaken, onder directie van den Hoofd-Inspecteur van den Waterstaat L.J.A. van der Kun ; opgemeten en vervaardigd door de landmeters bij de Algemeene dienst van den Waterstaat E. Olivier Dz. En F.F.J. Machen. - 1:10.000. - [Delft: Algemeene Dienst van den Waterstaat, 1857-1858 ([Delft]: Topographisch Bureau en Drukkerij van het Departement van Oorlog). - 1 serie in 910</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</si>
  <si>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Kaart van de rivier de Boven Maas van Vise tot Woudrichem: in vierendertig bladen / opgemeten en vervaardigd door den eersten landmeter bij de Algemeene dienst van den Waterstaat E. Olivier Dz. ; op last van zijne excellentie den minister van Binnenlandsche Zaken, onder directie van den fungerenden HoofdIngenieur en van den Ingenieur in Algemeene Dienst van den Waterstaat L.J.A. van der Kun en R. Musquetier. - Schaal 1:10.000. - [Delft] : Algemeene Dienst van den Waterstaat, 1849-1856 ([Delft]: Topographisch Bureau en Drukkerij van het Departement van Oorlog). - 1 serie in 38 bladen: lithografie; diverse formaten.</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</si>
  <si>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Kaart van de rivier de IJssel van Westervoort tot Kampen : in twintig bladen benevens twee supplementaire bladen / vervaardigd op last van Zijne Excellentie den Minister van Binnenlandsche Zaken, onder directie van den fungerenden Hoofd-Ingenieur en van den Ingenieur bij de Algemeene Dienst van den Waterstaat L.J.A. van der Kun en R. Musquetier. - Schaal 1:10.000. - [Delft : Algemeene Dienst van den Waterstaat, 1840-1846] ([Delft] : Topographisch Bureau, Ministerie van Oorlog). -1 serie in 27 bladen : lithografie; diverse formaten.</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</si>
  <si>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Kaart van de rivieren de Boven en Neder-Rijn, de Lek en de Nieuwe Maas, van Lobith tot Brielle: in twintig bladen, benevens twee supplementaire bladen voor den Oude-Rijn en voor de Noord / vervaardigd op last van Zijne Excellentie den Minister van Binnenlandsche Zaken, onder directie van den Hoofd-Ingenieur bij de Algemeene Dienst van den Waterstaat B.H. Goudriaan. - Schaal 1:10.000. - [Delft]: Algemeene Dienst van de Waterstaat, 1830-1842. ([Delft] Topographisch Bureau en Drukkerij van het Departement van Oorlog). - 1 serie in 25 bladen: lithografie; diverse formaten. Van de tweede serie van de rivierkaart van de Boven Rijn bestaan een aantal bladen met in handschrift "Normaallijnen Gelderland". Op deze bladen zijn de resultaten van de oevermetingen in 1850-1852 en 1872 in manuscript ingetekend.</t>
  </si>
  <si>
    <t>Overzicht van de vlieglijnen van de platen in de wadden 2008
Dit bestand omvat de gebieden: 'Eems en Dollard' en 'Amelanderzeegat' 
Verklaring van de attributen:
VLIEGDATUM = datum van opname</t>
  </si>
  <si>
    <t>Overzicht van de vlieglijnen van Wadden 2007
Dit bestand omvat de gebieden: Waddenzee_oost en Amelanderzeegat
Verklaring van de attributen:
VLIEGDATUM = datum van opname</t>
  </si>
  <si>
    <t>Overzicht van de vlieglijnen van Wadden 2004
Verklaring van de attributen:
VLIEGDATUM = datum van opname</t>
  </si>
  <si>
    <t>Overzicht van de vlieglijnen van de platen "Voordelta" 2007
Verklaring van de attributen:
VLIEGDATUM = datum van opname</t>
  </si>
  <si>
    <t>Overzicht van de vlieglijnen van de platen in de Waddenzee 2009
Verklaring van de attributen:
VLIEGDATUM = datum van opname</t>
  </si>
  <si>
    <t>Overzicht van de vlieglijnen van de platen van de Oosterschelde 2010
Verklaring van de attributen:
VLIEGDATUM = datum van opname</t>
  </si>
  <si>
    <t>Overzicht van de vlieglijnen van de Noordwaard 2010
Verklaring van de attributen:
VLIEGDATUM = datum van opname</t>
  </si>
  <si>
    <t>Overzicht van de vlieglijnen van kust2_2006
Verklaring van de attributen:
VLIEGDATUM = datum van opname</t>
  </si>
  <si>
    <t>Overzicht van de vlieglijnen van kust_2008
Verklaring van de attributen:
VLIEGDATUM = datum van opname
FILENAAM = naam van het desbetreffende kustvak</t>
  </si>
  <si>
    <t>Overzicht van de vlieglijnen van kust_2008
Verklaring van de attributen:
VLIEGDATUM = datum van opname</t>
  </si>
  <si>
    <t>Overzicht van de vlieglijnen van kust_2007
Verklaring van de attributen:
VLIEGDATUM = datum van opname</t>
  </si>
  <si>
    <t>Overzicht van de vlieglijnen van kust_2006
Verklaring van de attributen:
DATUM = datum van opname</t>
  </si>
  <si>
    <t>Overzicht van de vlieglijnen van kust_2005
Verklaring van de attributen:
RUN=vliegstrook
DATE = datum van opname</t>
  </si>
  <si>
    <t>Overzicht van de vlieglijnen van kust_2004
Verklaring van de attributen:
VLIEGDATUM = datum van opname</t>
  </si>
  <si>
    <t>Hoogtemodel van de platen in de Westerschelde in de vorm van een grid met een resolutie van 2 meter waarbij de hoogtewaarde is opgenomen in 
meters.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2x2 meter gridcel wordt berekend uit meerdere laserpunten (het aantal is afhankelijk van de puntdichtheid van het basisbestand). Hierdoor neemt de invloed van de meetruis en uitschieters af en treedt er een lichte mate van vervlakking op.
Voor verdere informatie zie kwaliteitsdocument</t>
  </si>
  <si>
    <t>Hoogtemodel van de platen in de Westerschelde in de vorm van een grid met een resolutie van 5 meter waarbij de hoogtewaarde is opgenomen in 
meters.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2x2 meter gridcel wordt berekend uit meerdere laserpunten (het aantal is afhankelijk van de puntdichtheid van het basisbestand). Hierdoor neemt de invloed van de meetruis en uitschieters af en treedt er een lichte mate van vervlakking op.
Voor verdere informatie zie kwaliteitsdocument</t>
  </si>
  <si>
    <t>Dit bestand omvat de gebieden 'waddenzee_oost' en 'Amelanderzeegat'
Hoogtemodel van de kust in de vorm van een grid met een resolutie van 5 meter waarbij de hoogtewaarde is opgenomen in meters. Delen van de zandige kust van Nederland worden elk jaar in hoogte vastgelegd t.b.v. het vervaardigen van strandprofielen t.b.v. monitoring kustlijn.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</si>
  <si>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Hoogtemodel van de platen van de Waddenzee in de vorm van een grid met een resolutie van 5 meter waarbij de hoogtewaarde is opgenomen in meters. Delen van de platen in de Waddenzee worden elk jaar in hoogte vastgelegd.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</si>
  <si>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Hoogtemodel van de platen in de Waddenzee in de vorm van een grid met een resolutie van 5 meter waarbij de hoogtewaarde is opgenomen in meters. Delen van de platen in de Waddenzee worden elk jaar in hoogte vastgelegd.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</si>
  <si>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Hoogtemodel van de platen in de Waddenzee in de vorm van een grid met een resolutie van 5 meter.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</si>
  <si>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Hoogtemodel van de kust in de vorm van een grid met een resolutie van 5 meter waarbij de hoogtewaarde is opgenomen in meters. Delen van de zandige kust van Nederland worden elk jaar in hoogte vastgelegd t.b.v. het vervaardigen van strandprofielen t.b.v. monitoring kustlijn.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</si>
  <si>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Hoogtemodel van de platen in de Oosterschelde in de vorm van een grid met een resolutie van 2 meter waarbij de hoogtewaarde is opgenomen in meters. 
In opdracht van dir Zeeland is de Roggeplaat met 10 cm verlaagd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2x2 meter gridcel wordt berekend uit meerdere laserpunten (het aantal is afhankelijk van de puntdichtheid van het basisbestand). Hierdoor neemt de invloed van de meetruis en uitschieters af en treedt er een lichte mate van vervlakking op.
Voor verdere informatie zie kwaliteitsdocument</t>
  </si>
  <si>
    <t>Hoogtemodel van de platen in de Oosterschelde in de vorm van een grid met een resolutie van 5 meter waarbij de hoogtewaarde is opgenomen in 
meters.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</si>
  <si>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Hoogtemodel van de kust in de vorm van een grid met een resolutie van 5 meter waarbij de hoogtewaarde is opgenomen in 
meters. Delen van de zandige kust van Nederland worden elk jaar in hoogte vastgelegd t.b.v. het vervaardigen van strandprofielen t.b.v. monitoring kustlijn.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</si>
  <si>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Hoogtemodel van de kust in de vorm van een grid met een resolutie van 5 meter waarbij de hoogtewaarde is opgenomen in meters. Delen van de zandige kust van Nederland worden elk jaar in hoogte vastgelegd t.b.v. het vervaardigen van strandprofielen t.b.v. monitoring kustlijn.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</si>
  <si>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AHN in de vorm van een grid met een resolutie van 5 meter waarbij de hoogtewaarde is opgenomen in centimeters. Een digitaal hoogte model (DHM) is een bestand waarbij de hoogte wordt weergegeven volgens een regelmatig, rechthoekig raster. Iedere cel van het raster (ook wel een gridcel genoemd) krijgt een hoogtewaarde. In het geval van het 5x5 meter DHM van het AHN wordt deze hoogtewaarde berekend uit de omliggende laserpunten van het gefilterde basisbestand. De hiervoor gebruikte techniek is een zogenaamde "gewogen gemiddelde interpolatie". Meer informatie en uitleg over de interpolatie vindt U in "de grids van het AHN" (PDF-file, 2,6 MB).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
In deze verbeterde versie van het AHN is de NAP-correctie doorgevoerd evenals enkele andere verbeteringen.
Dit bestand is de eerste cyclus van het AHN over de jaren 1996 tot 2003.
Hierna zijn er 'gebieden' opnieuw gevlogen, die weer worden geintergreerd in het actuele AHN.
Het is de bedoeling dat het iedere 5 tot 10 jaar wordt geactualiseerd.</t>
  </si>
  <si>
    <t>Historisch Digitaal Topografisch Bestand van de natte hoofdinfrastructuur in beheer bij Rijkswaterstaat opgebouwd uit punt-, lijn- en vlakinformatie. 
De status van het product loopt van 1993 (overgang van analoog naar digitaal product) tot 2000 (overgang van DTB-rivieren naar DTB-Nat). Dit is ook de reden, dat het bestand niet volledig gevuld is met alle rivieren.
Het DTB-Rivieren wordt opgevolgd door het DTB-Nat. Bestandsnamen van het DTB2000 (DTB-Droog en DTB-Nat) beginnen met een D, bijv. D45bn en die van DTB-Rivieren met een R.</t>
  </si>
  <si>
    <t>Digitaal Topografisch Bestand van de natte hoofdinfrastructuur in beheer bij Rijkswaterstaat (DTB-Nat) en de droge  hoofdinfrastructuur (DTB-Droog) in beheer bij Rijkswaterstaat opgebouwd uit punt-, lijn- en vlakinformatie. 
De status van het product loopt van 2000 (overgang van dtb-wegen en dtb-rivieren naar DTB2000) tot 2007 (overgang van DTB2000 naar DTB, dus ook de overgang naar het nieuwe verwerkingssysteem IVRI).</t>
  </si>
  <si>
    <t>Historisch Digitaal Topografisch Bestand van de droge hoofdinfrastructuur opgebouwd uit punt-, lijn- en vlakinformatie. 
In dit geval houdt 'droog' ook kanalen in, omdat deze volgens dezelfde specificaties werd ingewonnen als de wegen.
Het DTB-Wegen wordt opgevolgd door het DTB-Droog. (DTB2000)
De status van het bestand is van augustus 2000.
Het is niet geheel landsdekkend en sommige delen zijn 100% vlakgevuld, andere 80%.
Het is niet meer te achterhalen uit welke fotovluchten de data is ingewonnen.</t>
  </si>
  <si>
    <t>Overzicht van de fotovluchten tbv inwinning DTB-rivieren. In het actuele DTB bestand wordt aan elk object de datum van de fotovlucht gekoppeld, maar in DTB-rivieren gebeurde dat nog niet. Het overzicht en het bijgeleverde jpg bestand geeft een globale indicatie van de datum van inwinning, maar het is niet 100% betrouwbaar.</t>
  </si>
  <si>
    <t>Deze omhullende van het historische Digitaal Topografisch Bestand geeft aan binnen welk gebied het DTB is ingewonnen. Ook is de inwindatum van de topografie van topografische elementen per vlak aangegeven.</t>
  </si>
  <si>
    <t>Overzicht van de ligging van de mozaieken inclusief informatie over de datum van opname</t>
  </si>
  <si>
    <t>Overzicht van de vlieglijnen van de kribben van de Waal in 2009
Verklaring van de attributen:
VLIEGDATUM = datum van opname</t>
  </si>
  <si>
    <t>Overzicht van de vlieglijnen van de kribben van de Maas in 2009
Verklaring van de attributen:
VLIEGDATUM = datum van opname</t>
  </si>
  <si>
    <t>Overzicht van de vlieglijnen van de kribben van de IJssel en Nederrijn in 2009
Verklaring van de attributen:
VLIEGDATUM = datum van opname</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</si>
  <si>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Maas / [Rijkswaterstaat]. - Schaal 1:10.000. - [Eerste herziening]. - ['s-Gravenhage : Topografische inrichting, 1873-1903]. - 1 serie in 33 bladen : lithografie ; diverse formaten. De dektitels langs de bovenzijde van de kaart variëren. Enkele kaartbladen in combinatie met andere series.</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</si>
  <si>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Kaart van de rivieren de Boven Rijn, de Waal, de Merwede, de Oude en een gedeelte van de Nieuwe Maas van Lobith tot Brielle: in twintig bladen benevens twee supplementaire bladen voor de Dordtsche Kil / vervaardigd op last van zijne excellentie den Minister van Binnenlandse Zaken, onder directie van den Hoofd-Ingenieur bij de Algemeene Dienst van den Waterstaat B.H. Goudriaan. - Schaal 1:10.000. - [Delft]: Algemeene Dienst van den Waterstaat, 1830-1835. ([Delft] : het Bureau en de drukkerij van de Directie der Militaire Verkenningen). - 1 kaartserie, in 27 bladen: lithografie; diverse formaten. Van de eerste serie van de rivierkaart van de Boven Rijn bestaan een aantal bladen met in handschrift "Normaallijnen Gelderland". Op deze bladen zijn de resultaten van de oevermetingen in 1850-1851 en 1872-1873 in manuscript ingetekend. Bij de legger van deze rivierkaart worden drie extra kaartbladen bewaard, in 1863 vervaardigd, waarop de rivierstanden en noodpeilen langs de Nederlandse hoofdrivieren zijn aangeduid.</t>
  </si>
  <si>
    <t>infrarood orthofoto voor ecotopenkartering kartering</t>
  </si>
  <si>
    <t>Overzicht van de vlieglijnen van de platen van de Westerschelde 2008
Verklaring van de attributen:
VLIEGDATUM = datum van opname</t>
  </si>
  <si>
    <t>infrarood orthofoto voor zeegras soorts kartering osterschelde 2008</t>
  </si>
  <si>
    <t>true colour orthofoto voor ecotopen kartering.
De opnamen zijn gemaakt op 10 en 20 oktober 2008.
Bij de aflevering van Ecotopenkaart, Vegetatiekartering en/of Geomorfologische kaarten worden steeds vaker orthofotomozaieken standaard meegeleverd. Orthofotomozaieken zijn beelden, samengesteld uit individuele geometrisch gecorrigeerde luchtfoto's, aangeduid als orthofoto. Deze luchtfoto's zijn gebruikt als basis voor de inwinning van gegegevens van genoemde producten. Een orthofoto is een luchtfoto, gecorrigeerd voor de stand van het vliegtuig tijdens de opname en hoogteverschillen in het terrein. Om deze hoogteverschillen te corrigeren is een hoogtemodel nodig. Standaard wordt voor de vervaardiging van orthofotomozaieken het Actueel Hoogtebestand Nederland (AHN) gebruikt. Resolutie is 25 cm. In geval van de Maas is gebruik gemaakt van de luchtofoto's die zijn gebruikt voor de inwinning van de Ecotopenkaart van de Maas. De GSD van deze foto's is 0,12m. Ook van delen van Ameland, de Schelde en de Kwelders zijn mozaieken beschikbaar. De formaten die geleverd worden zijn ECW .</t>
  </si>
  <si>
    <t>Dit bestand omvat de gebieden: Eems en Dollard, Amelander zeegat. Hoogtemodel van platen in de vorm van een grid met een resolutie van 5 meter waarbij de hoogtewaarde is opgenomen in meters. Delen van de platen worden elk jaar in hoogte vastgelegd.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</si>
  <si>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Hoogtemodel van de platen voor de kust  in de vorm van een grid met een resolutie van 5 meter waarbij de hoogtewaarde is opgenomen in meters. Delen van de zandige kust van Nederland worden elk jaar in hoogte vastgelegd.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</si>
  <si>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Laseraltimetrie-opname Waddenzee 2009 3 gebieden : Gebied1: Balgzand en Razende Bol Gebied2: ten oosten van Texel Gebied3: ten noorden van het Lauwersmeer Hoogtemodel van de Waddenzee in de vorm van een grid met een resolutie van 5 meter waarbij de hoogtewaarde is opgenomen in meters. Delen van de zandige kust van Nederland worden elk jaar in hoogte vastgelegd.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op.Hoogtemodel van de kust in de vorm van een grid met een resolutie van 5 meter waarbij de hoogtewaarde is opgenomen in meters. Delen van de zandige kust van Nederland worden elk jaar in hoogte vastgelegd.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</si>
  <si>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Van de Maas, de Rijntakken-Oost, de Rijn-Maasmonding, het Volkerak-Zoommeer en het IJsselmeergebied wordt om de 6 jaar een ecotopenkaart geleverd. Een ecotopenkaart wordt opgebouwd door meerdere informatielagen samen te voegen, zoals een vegetatiestructuurkaart, een waterdieptekaart, een overstromingsduurkaart, etc. De vegetatiestructuurkaart vormt hierbij de belangrijkste laag. Deze kaart wordt met behulp van luchtfoto's geproduceerd op een schaal van 1:10.000. Een ecotoop is gedefinieerd als een ruimtelijk te begrenzen ecologische eenheid, waarvan de samenstelling en ontwikkeling worden bepaald door abiotische, biotische en antropogene aspecten samen.
De 3e cyclus karteringen hebben de uitvoeringsperiode van 2008 tot en met 2013.</t>
  </si>
  <si>
    <t>De Beheerkaart Nat is een geografisch bestand ten behoeve van de natte districten van Rijkswaterstaat en het NIS. Het betreft een landelijk dekkend gedetailleerd beheerobjectenbestand op grootschalig niveau (1:1000).Verkeersvoorziening is het thema waarin alle objectsubcategoriën (VS) met betrekking tot verkeersvoorzieningen staan. Op dit moment is verkeersvoorzieningen echter nog beperkt tot verkeersposten en radarposten.</t>
  </si>
  <si>
    <t>De Beheerkaart Nat is een geografisch bestand ten behoeve van de natte districten van Rijkswaterstaat en het NIS. Het betreft een landelijk dekkend gedetailleerd beheerobjectenbestand op grootschalig niveau (1:1000).</t>
  </si>
  <si>
    <t>De Beheerkaart Nat is een geografisch bestand ten behoeve van de natte districten van Rijkswaterstaat en het NIS. Het betreft een landelijk dekkend gedetailleerd beheerobjectenbestand op grootschalig niveau (1:1000). In Kunstwerken staan alle objectsubcategoriën (KA, KB, KG, KH, KK, KM, KN, KQ, KR, KS, KT, KU, KV, KW en KZ) die onder kunstwerken vallen.</t>
  </si>
  <si>
    <t>De Beheerkaart Nat is een geografisch bestand ten behoeve van de natte districten van Rijkswaterstaat en het NIS. Het betreft een landelijk dekkend gedetailleerd beheerobjectenbestand op grootschalig niveau (1:1000). Exploitatie is het thema waarin alle objectsubcategoriën (EG, ET) staan die exploitatie bevat.</t>
  </si>
  <si>
    <t>De Beheerkaart Nat is een geografisch bestand ten behoeve van de natte districten van Rijkswaterstaat en het NIS. Het betreft een landelijk dekkend gedetailleerd beheerobjectenbestand op grootschalig niveau (1:1000). Bodems is een thema dat alle objectsubcategoriën (BA, BH, BO en BV) voor de bodems bevat.</t>
  </si>
  <si>
    <t>De Beheerkaart Nat is een geografisch bestand ten behoeve van de natte districten van Rijkswaterstaat en het NIS. Het betreft een landelijk dekkend gedetailleerd beheerobjectenbestand op grootschalig niveau (1:1000). Water is het thema dat alle objectsubcategoriën (QL, QQ en QX) met betrekking tot water bevat.</t>
  </si>
  <si>
    <t>2016-09-07</t>
  </si>
  <si>
    <t>infrarood orthofoto voor zeegras soorts kartering Zuid Oost kust Terschelling 2006
Getijde: -0.50 m NAP</t>
  </si>
  <si>
    <t>infrarood orthofoto voor zeegras soorts kartering Voolhok 2007
Getijde: -1.0 m NAP</t>
  </si>
  <si>
    <t>Overzicht van de vlieglijnen van de platen van de Oosterschelde 2007
Verklaring van de attributen:
VLIEGDATUM = datum van opname</t>
  </si>
  <si>
    <t>infrarood orthofoto voor zeegras soorts kartering Hond paap 2007
Getijde: NAP -1.00</t>
  </si>
  <si>
    <t>infrarood orthofoto voor zeegras soorts kartering groninger_kust_noordpolderzijl_2007
Getijde: NAP -0.80</t>
  </si>
  <si>
    <t>infrarood orthofoto voor zeegras soorts kartering Groningerkust Gasstation 2007
Getijde: NAP -0.80</t>
  </si>
  <si>
    <t>infrarood orthofoto voor zeegras soorts kartering Groningerkust 2007
Getijde: NAP -0.80</t>
  </si>
  <si>
    <t>infrarood orthofoto voor zeegras soorts kartering West Terschelling 2006
Getijde: -1.0 m NAP</t>
  </si>
  <si>
    <t>infrarood orthofoto voor zeegras soorts kartering Voolhok 2006</t>
  </si>
  <si>
    <t>infrarood orthofoto voor vegetatie kartering Sluter Voorne 2006
Getijde: NAP -0.20 m</t>
  </si>
  <si>
    <t>infrarood orthofoto voor vegetatie kartering</t>
  </si>
  <si>
    <t>infrarood orthofoto voor vegetatie kartering Punt  van Reide 2006
Getijde: NAP -1.00 m</t>
  </si>
  <si>
    <t>infrarood orthofoto voor zeegras soorts kartering oosterschelde noord 2006
Getijde: NAP -1.05 m</t>
  </si>
  <si>
    <t>infrarood orthofoto voor zeegras soorts kartering oosterschelde midden 2006
Getijde: NAP -1.05 m</t>
  </si>
  <si>
    <t>infrarood orthofoto voor zeegras soorts kartering oosterschelde kom 2006
Getijde: NAP -1.10 m</t>
  </si>
  <si>
    <t>infrarood orthofoto voor vegetatie kartering Kwade Hoek 2006
NAP -0.2m</t>
  </si>
  <si>
    <t>infrarood orthofoto voor zeegras soorts kartering Hond paap 2006
Getijde: NAP -1.0m</t>
  </si>
  <si>
    <t>infrarood orthofoto voor zeegras soorts kartering groningerwad_kust_2006
Getijde: NAP -0.80</t>
  </si>
  <si>
    <t>infrarood orthofoto voor vegetatie kartering Griend 2006
Getijde: NAP -0.5m</t>
  </si>
  <si>
    <t>infrarood orthofoto voor zeegras soorts kartering Dorstman 2006
getijde: NAP -1.05m</t>
  </si>
  <si>
    <t>infrarood orthofoto voor vegetatie kartering Dollard 2006
Getijde: NAP -1.0m</t>
  </si>
  <si>
    <t>infrarood orthofoto voor vegetatie kartering Bosplaat Terschelling 2006
Getijde: NAP -0.5m</t>
  </si>
  <si>
    <t>infrarood orthofoto voor ecotopen kartering</t>
  </si>
  <si>
    <t>Openbare tellingen(Min. IenM) om te bewerken naar aantallen per stofcategorie. De ruwe teldata zijn beschikbaar als losse Excel-bestanden. De data zijn in principe open data. Dit zijn de openbare telgegevens van basisnet en overige wegen die via de RWS-website gepubliceerd worden.</t>
  </si>
  <si>
    <t>infrarood orthofoto voor geomorfologische/ecotopenkartering kartering Veersemeer 2005</t>
  </si>
  <si>
    <t>infrarood orthofoto voor vegetatie kartering Texel Noordholland 2005</t>
  </si>
  <si>
    <t>infrarood orthofoto voor geomorfologische/ecotopen kartering Grevelingen meer 2005</t>
  </si>
  <si>
    <t>Van de Maas, de Rijntakken-Oost, de Rijn-Maasmonding, het Volkerak-Zoommeer en het IJsselmeergebied wordt om de 6 jaar een ecotopenkaart geleverd. Een ecotopenkaart wordt opgebouwd door meerdere informatielagen samen te voegen, zoals een vegetatiestructuurkaart, een waterdieptekaart, een overstromingsduurkaart, etc. De vegetatiestructuurkaart vormt hierbij de belangrijkste laag. Deze kaart wordt met behulp van luchtfoto's geproduceerd op een schaal van 1:10.000. Een ecotoop is gedefinieerd als een ruimtelijk te begrenzen ecologische eenheid, waarvan de samenstelling en ontwikkeling worden bepaald door abiotische, biotische en antropogene aspecten samen.
De 2e cyclus karteringen zijn uitgevoerd in de periode van 2004 tot en met 2006 (jaar van fotovluchten).</t>
  </si>
  <si>
    <t>infrarood orthofoto voor geomorfologische kartering Westerschelde 2004</t>
  </si>
  <si>
    <t>Geomorfologische- en vegetatiekartering (vlakken) IJsselmeergebied - Delta Schuitenbeek 2002</t>
  </si>
  <si>
    <t>Het Actueel Hoogtebestand Nederland (AHN) is een hoogtebestand vervaardigd door middel van laseraltimetrie. Het AHN1 100 meter maaiveld raster is bedoeld als maaiveldbestand en is herbemonsterd op basis van het 5 meter raster op basis van een ongewogen gemiddelde methode. Er zijn geen verdere bewerkingen uitgevoerd. Meer informatie vindt u op www.ahn.nl.</t>
  </si>
  <si>
    <t>TOPhoogteMD is een landsdekkend, digitaal hoogtebestand van Nederland, vervaardigd in 1992 en bestaat voor het grootste deel uit hoogtepunten die gedigitaliseerd zijn van oude hoogtekaarten die door de toenmalige Meetkundige Dienst van Rijkswaterstaat (MD) werden gemaakt. Deze hoogtepunten zijn in de periode 1942-1983 ingewonnen. Opdrachtgever voor het maken van dit bestand was o.a. de Topografische Dienst. Het bestand wordt niet meer geactualiseerd. Het Actueel Hoogtebestand Nederland  is de opvolger van het TophoogteMD.
Het bestand is beschikbaar als arcview shape en DXF.</t>
  </si>
  <si>
    <t>Ministerie VROM. Oude versie van de landwaartse begrenzing duingebied.</t>
  </si>
  <si>
    <t>Monitoringslocaties zijn onderdeel van het Landelijk Meetnet Water; een voorziening die verantwoordelijk is voor de inwinning, opslag en distributie van waterbeheergegevens. Via meer dan 400 meetpunten wordt data ingewonnen, verwerkt en opgeslagen in het rekencentrum. De gegevens worden vervolgens geleverd aan klanten.</t>
  </si>
  <si>
    <t>Dataset met utilitaire bewegwijzering, kruispunten, wegwijzerlocaties, beheerders en situatieschetsen uit heel Nederland. In totaal zijn er gegevens van zo'n 95.000 actuele wegwijzers opgenomen. Het bestand is in beheer bij de Nationale Bewegwijzeringsdienst (NBd).</t>
  </si>
  <si>
    <t>Ministerie van Infrastructuur en Milieu</t>
  </si>
  <si>
    <t>Aantal databronnen</t>
  </si>
  <si>
    <t>Inventarisatie sheet DATA.OVERHEID.NL</t>
  </si>
  <si>
    <t xml:space="preserve">Inventariserende organisatie: </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</si>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</sst>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indexed="8"/>
      <name val="Sans"/>
    </font>
    <font>
      <sz val="12"/>
      <color indexed="8"/>
      <name val="Calibri"/>
    </font>
    <font>
      <b/>
      <sz val="14"/>
      <color indexed="9"/>
      <name val="Calibri"/>
    </font>
    <font>
      <b/>
      <sz val="18"/>
      <color theme="1"/>
      <name val="Calibri"/>
      <family val="2"/>
      <scheme val="minor"/>
    </font>
  </fonts>
  <fills count="10">
    <fill>
      <patternFill patternType="none"/>
    </fill>
    <fill>
      <patternFill patternType="gray125"/>
    </fill>
    <fill>
      <patternFill patternType="solid">
        <fgColor indexed="9"/>
        <bgColor indexed="8"/>
      </patternFill>
    </fill>
    <fill>
      <patternFill patternType="solid">
        <fgColor indexed="62"/>
        <bgColor indexed="59"/>
      </patternFill>
    </fill>
    <fill>
      <patternFill patternType="solid">
        <fgColor indexed="61"/>
        <bgColor indexed="59"/>
      </patternFill>
    </fill>
    <fill>
      <patternFill patternType="solid">
        <fgColor indexed="58"/>
        <bgColor indexed="59"/>
      </patternFill>
    </fill>
    <fill>
      <patternFill patternType="solid">
        <fgColor indexed="21"/>
        <bgColor indexed="21"/>
      </patternFill>
    </fill>
    <fill>
      <patternFill patternType="solid">
        <fgColor indexed="63"/>
        <bgColor indexed="59"/>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4">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4"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2" fillId="6" borderId="2" xfId="0" applyNumberFormat="1" applyFont="1" applyFill="1" applyBorder="1" applyAlignment="1" applyProtection="1">
      <alignment horizontal="left" vertical="top" wrapText="1"/>
    </xf>
    <xf numFmtId="0" fontId="1" fillId="7" borderId="1" xfId="0" applyNumberFormat="1" applyFont="1" applyFill="1" applyBorder="1" applyAlignment="1" applyProtection="1">
      <alignment horizontal="left" vertical="top" wrapText="1"/>
    </xf>
    <xf numFmtId="0" fontId="3" fillId="8" borderId="0" xfId="0" applyFont="1" applyFill="1" applyAlignment="1"/>
    <xf numFmtId="0" fontId="0" fillId="9" borderId="0" xfId="0" applyNumberFormat="1" applyFont="1" applyFill="1" applyBorder="1" applyAlignment="1" applyProtection="1">
      <alignment horizontal="left" vertical="top" wrapText="1"/>
    </xf>
    <xf numFmtId="0" fontId="0" fillId="8" borderId="0" xfId="0" applyFill="1" applyAlignment="1"/>
    <xf numFmtId="0" fontId="0" fillId="8" borderId="0" xfId="0" applyFill="1" applyBorder="1" applyAlignment="1"/>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F89800"/>
      <rgbColor rgb="00009080"/>
      <rgbColor rgb="00C7C7C7"/>
      <rgbColor rgb="0000FC00"/>
      <rgbColor rgb="00EEEEEE"/>
      <rgbColor rgb="00F8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16"/>
  <sheetViews>
    <sheetView tabSelected="1" zoomScale="60" zoomScaleNormal="60" zoomScaleSheetLayoutView="1" workbookViewId="0">
      <selection activeCell="A1180" sqref="A1180"/>
    </sheetView>
  </sheetViews>
  <sheetFormatPr defaultColWidth="11.453125" defaultRowHeight="12.5"/>
  <cols>
    <col min="1" max="1" width="5.6328125" style="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6328125" style="1" bestFit="1" customWidth="1"/>
    <col min="10" max="10" width="22.81640625" style="1" bestFit="1" customWidth="1"/>
    <col min="11" max="11" width="45.632812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10" t="s">
        <v>815</v>
      </c>
      <c r="B1" s="11"/>
      <c r="C1" s="11"/>
      <c r="D1" s="11"/>
      <c r="E1" s="11"/>
      <c r="F1" s="11"/>
      <c r="G1" s="11"/>
      <c r="H1" s="11"/>
      <c r="I1" s="11"/>
      <c r="J1" s="11"/>
      <c r="K1" s="11"/>
      <c r="L1" s="11"/>
      <c r="M1" s="11"/>
      <c r="N1" s="11"/>
      <c r="O1" s="11"/>
      <c r="P1" s="11"/>
      <c r="Q1" s="11"/>
    </row>
    <row r="2" spans="1:17">
      <c r="A2" s="11"/>
      <c r="B2" s="11"/>
      <c r="C2" s="11"/>
      <c r="D2" s="11"/>
      <c r="E2" s="11"/>
      <c r="F2" s="11"/>
      <c r="G2" s="11"/>
      <c r="H2" s="11"/>
      <c r="I2" s="11"/>
      <c r="J2" s="11"/>
      <c r="K2" s="11"/>
      <c r="L2" s="11"/>
      <c r="M2" s="11"/>
      <c r="N2" s="11"/>
      <c r="O2" s="11"/>
      <c r="P2" s="11"/>
      <c r="Q2" s="11"/>
    </row>
    <row r="3" spans="1:17">
      <c r="A3" s="12" t="s">
        <v>816</v>
      </c>
      <c r="B3" s="13"/>
      <c r="C3" s="11"/>
      <c r="D3" s="13" t="s">
        <v>817</v>
      </c>
      <c r="E3" s="11"/>
      <c r="F3" s="12" t="s">
        <v>818</v>
      </c>
      <c r="G3" s="13"/>
      <c r="H3" s="12"/>
      <c r="I3" s="11"/>
      <c r="J3" s="11"/>
      <c r="K3" s="11"/>
      <c r="L3" s="11"/>
      <c r="M3" s="11"/>
      <c r="N3" s="11"/>
      <c r="O3" s="11"/>
      <c r="P3" s="11"/>
      <c r="Q3" s="11"/>
    </row>
    <row r="4" spans="1:17">
      <c r="A4" s="11"/>
      <c r="B4" s="11"/>
      <c r="C4" s="11"/>
      <c r="D4" s="11"/>
      <c r="E4" s="11"/>
      <c r="F4" s="11"/>
      <c r="G4" s="11"/>
      <c r="H4" s="11"/>
      <c r="I4" s="11"/>
      <c r="J4" s="11"/>
      <c r="K4" s="11"/>
      <c r="L4" s="11"/>
      <c r="M4" s="11"/>
      <c r="N4" s="11"/>
      <c r="O4" s="11"/>
      <c r="P4" s="11"/>
      <c r="Q4" s="11"/>
    </row>
    <row r="5" spans="1:17" ht="37">
      <c r="A5" s="8" t="s">
        <v>0</v>
      </c>
      <c r="B5" s="8" t="s">
        <v>1</v>
      </c>
      <c r="C5" s="8" t="s">
        <v>2</v>
      </c>
      <c r="D5" s="8" t="s">
        <v>3</v>
      </c>
      <c r="E5" s="8" t="s">
        <v>4</v>
      </c>
      <c r="F5" s="8" t="s">
        <v>5</v>
      </c>
      <c r="G5" s="8" t="s">
        <v>6</v>
      </c>
      <c r="H5" s="8" t="s">
        <v>7</v>
      </c>
      <c r="I5" s="8" t="s">
        <v>8</v>
      </c>
      <c r="J5" s="8" t="s">
        <v>9</v>
      </c>
      <c r="K5" s="8" t="s">
        <v>10</v>
      </c>
      <c r="L5" s="8" t="s">
        <v>11</v>
      </c>
      <c r="M5" s="8" t="s">
        <v>12</v>
      </c>
      <c r="N5" s="8" t="s">
        <v>13</v>
      </c>
      <c r="O5" s="8" t="s">
        <v>814</v>
      </c>
      <c r="P5" s="8" t="s">
        <v>14</v>
      </c>
      <c r="Q5" s="8" t="s">
        <v>15</v>
      </c>
    </row>
    <row r="6" spans="1:17" ht="124">
      <c r="A6" s="5">
        <v>1</v>
      </c>
      <c r="B6" s="6" t="s">
        <v>16</v>
      </c>
      <c r="C6" s="5" t="str">
        <f>HYPERLINK("http://data.overheid.nl/data/dataset/nationaal-wegen-bestand-wegen-wegvakken-01-02","Nationaal Wegen Bestand Wegen wegvakken")</f>
        <v>Nationaal Wegen Bestand Wegen wegvakken</v>
      </c>
      <c r="D6" s="6" t="s">
        <v>17</v>
      </c>
      <c r="E6" s="5" t="s">
        <v>18</v>
      </c>
      <c r="F6" s="6" t="s">
        <v>813</v>
      </c>
      <c r="G6" s="5" t="s">
        <v>19</v>
      </c>
      <c r="H6" s="6" t="s">
        <v>20</v>
      </c>
      <c r="I6" s="5" t="s">
        <v>21</v>
      </c>
      <c r="J6" s="4" t="s">
        <v>22</v>
      </c>
      <c r="K6" s="2" t="s">
        <v>23</v>
      </c>
      <c r="L6" s="6" t="s">
        <v>24</v>
      </c>
      <c r="M6" s="5" t="s">
        <v>25</v>
      </c>
      <c r="N6" s="3" t="s">
        <v>26</v>
      </c>
      <c r="O6" s="5">
        <v>6</v>
      </c>
      <c r="P6" s="3" t="s">
        <v>23</v>
      </c>
      <c r="Q6" s="5"/>
    </row>
    <row r="7" spans="1:17" ht="124">
      <c r="A7" s="5">
        <v>2</v>
      </c>
      <c r="B7" s="6" t="s">
        <v>16</v>
      </c>
      <c r="C7" s="5" t="str">
        <f>HYPERLINK("http://data.overheid.nl/data/dataset/nationaal-wegen-bestand-wegen-hectopunten","Nationaal Wegen Bestand Wegen hectopunten")</f>
        <v>Nationaal Wegen Bestand Wegen hectopunten</v>
      </c>
      <c r="D7" s="6" t="s">
        <v>17</v>
      </c>
      <c r="E7" s="5" t="s">
        <v>18</v>
      </c>
      <c r="F7" s="6" t="s">
        <v>813</v>
      </c>
      <c r="G7" s="5" t="s">
        <v>27</v>
      </c>
      <c r="H7" s="6" t="s">
        <v>28</v>
      </c>
      <c r="I7" s="5" t="s">
        <v>21</v>
      </c>
      <c r="J7" s="4" t="s">
        <v>22</v>
      </c>
      <c r="K7" s="2" t="s">
        <v>23</v>
      </c>
      <c r="L7" s="6" t="s">
        <v>24</v>
      </c>
      <c r="M7" s="5" t="s">
        <v>25</v>
      </c>
      <c r="N7" s="3" t="s">
        <v>26</v>
      </c>
      <c r="O7" s="5">
        <v>6</v>
      </c>
      <c r="P7" s="3" t="s">
        <v>23</v>
      </c>
      <c r="Q7" s="5"/>
    </row>
    <row r="8" spans="1:17" ht="93">
      <c r="A8" s="5">
        <v>3</v>
      </c>
      <c r="B8" s="6" t="s">
        <v>16</v>
      </c>
      <c r="C8" s="5" t="str">
        <f>HYPERLINK("http://data.overheid.nl/data/dataset/kustlijnkaartenboek-2016-af-te-beelden-trendwaarden-schaal-50000","Kustlijnkaartenboek 2016: Af te beelden trendwaarden schaal (50000)")</f>
        <v>Kustlijnkaartenboek 2016: Af te beelden trendwaarden schaal (50000)</v>
      </c>
      <c r="D8" s="6" t="s">
        <v>17</v>
      </c>
      <c r="E8" s="5" t="s">
        <v>18</v>
      </c>
      <c r="F8" s="6" t="s">
        <v>813</v>
      </c>
      <c r="G8" s="5" t="s">
        <v>29</v>
      </c>
      <c r="H8" s="6" t="s">
        <v>20</v>
      </c>
      <c r="I8" s="5" t="s">
        <v>21</v>
      </c>
      <c r="J8" s="4" t="s">
        <v>22</v>
      </c>
      <c r="K8" s="2" t="s">
        <v>23</v>
      </c>
      <c r="L8" s="6" t="s">
        <v>24</v>
      </c>
      <c r="M8" s="5" t="s">
        <v>25</v>
      </c>
      <c r="N8" s="3" t="s">
        <v>26</v>
      </c>
      <c r="O8" s="5">
        <v>2</v>
      </c>
      <c r="P8" s="3" t="s">
        <v>23</v>
      </c>
      <c r="Q8" s="5"/>
    </row>
    <row r="9" spans="1:17" ht="93">
      <c r="A9" s="5">
        <v>4</v>
      </c>
      <c r="B9" s="6" t="s">
        <v>16</v>
      </c>
      <c r="C9" s="5" t="str">
        <f>HYPERLINK("http://data.overheid.nl/data/dataset/kustlijnkaartenboek-2016-af-te-beelden-trendwaarden-schaal-25000","Kustlijnkaartenboek 2016: Af te beelden trendwaarden schaal (25000)")</f>
        <v>Kustlijnkaartenboek 2016: Af te beelden trendwaarden schaal (25000)</v>
      </c>
      <c r="D9" s="6" t="s">
        <v>17</v>
      </c>
      <c r="E9" s="5" t="s">
        <v>18</v>
      </c>
      <c r="F9" s="6" t="s">
        <v>813</v>
      </c>
      <c r="G9" s="5" t="s">
        <v>29</v>
      </c>
      <c r="H9" s="6" t="s">
        <v>20</v>
      </c>
      <c r="I9" s="5" t="s">
        <v>21</v>
      </c>
      <c r="J9" s="4" t="s">
        <v>22</v>
      </c>
      <c r="K9" s="2" t="s">
        <v>23</v>
      </c>
      <c r="L9" s="6" t="s">
        <v>24</v>
      </c>
      <c r="M9" s="5" t="s">
        <v>25</v>
      </c>
      <c r="N9" s="3" t="s">
        <v>26</v>
      </c>
      <c r="O9" s="5">
        <v>2</v>
      </c>
      <c r="P9" s="3" t="s">
        <v>23</v>
      </c>
      <c r="Q9" s="5"/>
    </row>
    <row r="10" spans="1:17" ht="93">
      <c r="A10" s="5">
        <v>5</v>
      </c>
      <c r="B10" s="6" t="s">
        <v>16</v>
      </c>
      <c r="C10" s="5" t="str">
        <f>HYPERLINK("http://data.overheid.nl/data/dataset/kustlijnkaartenboek-2016-af-te-beelden-trendwaarden-schaal-100000","Kustlijnkaartenboek 2016: Af te beelden trendwaarden schaal (100000)")</f>
        <v>Kustlijnkaartenboek 2016: Af te beelden trendwaarden schaal (100000)</v>
      </c>
      <c r="D10" s="6" t="s">
        <v>17</v>
      </c>
      <c r="E10" s="5" t="s">
        <v>18</v>
      </c>
      <c r="F10" s="6" t="s">
        <v>813</v>
      </c>
      <c r="G10" s="5" t="s">
        <v>29</v>
      </c>
      <c r="H10" s="6" t="s">
        <v>20</v>
      </c>
      <c r="I10" s="5" t="s">
        <v>21</v>
      </c>
      <c r="J10" s="4" t="s">
        <v>22</v>
      </c>
      <c r="K10" s="2" t="s">
        <v>23</v>
      </c>
      <c r="L10" s="6" t="s">
        <v>24</v>
      </c>
      <c r="M10" s="5" t="s">
        <v>25</v>
      </c>
      <c r="N10" s="3" t="s">
        <v>26</v>
      </c>
      <c r="O10" s="5">
        <v>2</v>
      </c>
      <c r="P10" s="3" t="s">
        <v>23</v>
      </c>
      <c r="Q10" s="5"/>
    </row>
    <row r="11" spans="1:17" ht="108.5">
      <c r="A11" s="5">
        <v>6</v>
      </c>
      <c r="B11" s="6" t="s">
        <v>16</v>
      </c>
      <c r="C11" s="5" t="str">
        <f>HYPERLINK("http://data.overheid.nl/data/dataset/kustlijnkaart-2016-berekende-trendwaarden-schaal-50000","Kustlijnkaart 2016: Berekende trendwaarden schaal (50000)")</f>
        <v>Kustlijnkaart 2016: Berekende trendwaarden schaal (50000)</v>
      </c>
      <c r="D11" s="6" t="s">
        <v>17</v>
      </c>
      <c r="E11" s="5" t="s">
        <v>18</v>
      </c>
      <c r="F11" s="6" t="s">
        <v>813</v>
      </c>
      <c r="G11" s="5" t="s">
        <v>30</v>
      </c>
      <c r="H11" s="6" t="s">
        <v>20</v>
      </c>
      <c r="I11" s="5" t="s">
        <v>21</v>
      </c>
      <c r="J11" s="4" t="s">
        <v>22</v>
      </c>
      <c r="K11" s="2" t="s">
        <v>23</v>
      </c>
      <c r="L11" s="6" t="s">
        <v>24</v>
      </c>
      <c r="M11" s="5" t="s">
        <v>25</v>
      </c>
      <c r="N11" s="3" t="s">
        <v>26</v>
      </c>
      <c r="O11" s="5">
        <v>2</v>
      </c>
      <c r="P11" s="3" t="s">
        <v>23</v>
      </c>
      <c r="Q11" s="5"/>
    </row>
    <row r="12" spans="1:17" ht="108.5">
      <c r="A12" s="5">
        <v>7</v>
      </c>
      <c r="B12" s="6" t="s">
        <v>16</v>
      </c>
      <c r="C12" s="5" t="str">
        <f>HYPERLINK("http://data.overheid.nl/data/dataset/kustlijnkaart-2016-berekende-trendwaarden-schaal-25000","Kustlijnkaart 2016: Berekende trendwaarden schaal (25000)")</f>
        <v>Kustlijnkaart 2016: Berekende trendwaarden schaal (25000)</v>
      </c>
      <c r="D12" s="6" t="s">
        <v>17</v>
      </c>
      <c r="E12" s="5" t="s">
        <v>18</v>
      </c>
      <c r="F12" s="6" t="s">
        <v>813</v>
      </c>
      <c r="G12" s="5" t="s">
        <v>30</v>
      </c>
      <c r="H12" s="6" t="s">
        <v>20</v>
      </c>
      <c r="I12" s="5" t="s">
        <v>21</v>
      </c>
      <c r="J12" s="4" t="s">
        <v>22</v>
      </c>
      <c r="K12" s="2" t="s">
        <v>23</v>
      </c>
      <c r="L12" s="6" t="s">
        <v>24</v>
      </c>
      <c r="M12" s="5" t="s">
        <v>25</v>
      </c>
      <c r="N12" s="3" t="s">
        <v>26</v>
      </c>
      <c r="O12" s="5">
        <v>2</v>
      </c>
      <c r="P12" s="3" t="s">
        <v>23</v>
      </c>
      <c r="Q12" s="5"/>
    </row>
    <row r="13" spans="1:17" ht="108.5">
      <c r="A13" s="5">
        <v>8</v>
      </c>
      <c r="B13" s="6" t="s">
        <v>16</v>
      </c>
      <c r="C13" s="5" t="str">
        <f>HYPERLINK("http://data.overheid.nl/data/dataset/kustlijnkaart-2016-berekende-trendwaarden-schaal-100000","Kustlijnkaart 2016: Berekende trendwaarden schaal (100000)")</f>
        <v>Kustlijnkaart 2016: Berekende trendwaarden schaal (100000)</v>
      </c>
      <c r="D13" s="6" t="s">
        <v>17</v>
      </c>
      <c r="E13" s="5" t="s">
        <v>18</v>
      </c>
      <c r="F13" s="6" t="s">
        <v>813</v>
      </c>
      <c r="G13" s="5" t="s">
        <v>30</v>
      </c>
      <c r="H13" s="6" t="s">
        <v>20</v>
      </c>
      <c r="I13" s="5" t="s">
        <v>21</v>
      </c>
      <c r="J13" s="4" t="s">
        <v>22</v>
      </c>
      <c r="K13" s="2" t="s">
        <v>23</v>
      </c>
      <c r="L13" s="6" t="s">
        <v>24</v>
      </c>
      <c r="M13" s="5" t="s">
        <v>25</v>
      </c>
      <c r="N13" s="3" t="s">
        <v>26</v>
      </c>
      <c r="O13" s="5">
        <v>2</v>
      </c>
      <c r="P13" s="3" t="s">
        <v>23</v>
      </c>
      <c r="Q13" s="5"/>
    </row>
    <row r="14" spans="1:17" ht="62">
      <c r="A14" s="5">
        <v>9</v>
      </c>
      <c r="B14" s="6" t="s">
        <v>16</v>
      </c>
      <c r="C14" s="5" t="str">
        <f>HYPERLINK("http://data.overheid.nl/data/dataset/contractgrens-water-punten-ivov-contract-2016-rijkswaterstaat-wnz","Contractgrens Water (punten) IVOV-contract 2016 Rijkswaterstaat WNZ")</f>
        <v>Contractgrens Water (punten) IVOV-contract 2016 Rijkswaterstaat WNZ</v>
      </c>
      <c r="D14" s="6" t="s">
        <v>17</v>
      </c>
      <c r="E14" s="5" t="s">
        <v>18</v>
      </c>
      <c r="F14" s="6" t="s">
        <v>813</v>
      </c>
      <c r="G14" s="5" t="s">
        <v>31</v>
      </c>
      <c r="H14" s="6" t="s">
        <v>20</v>
      </c>
      <c r="I14" s="5" t="s">
        <v>21</v>
      </c>
      <c r="J14" s="4" t="s">
        <v>22</v>
      </c>
      <c r="K14" s="2" t="s">
        <v>23</v>
      </c>
      <c r="L14" s="6" t="s">
        <v>24</v>
      </c>
      <c r="M14" s="5" t="s">
        <v>25</v>
      </c>
      <c r="N14" s="3" t="s">
        <v>26</v>
      </c>
      <c r="O14" s="5">
        <v>2</v>
      </c>
      <c r="P14" s="3" t="s">
        <v>23</v>
      </c>
      <c r="Q14" s="5"/>
    </row>
    <row r="15" spans="1:17" ht="62">
      <c r="A15" s="5">
        <v>10</v>
      </c>
      <c r="B15" s="6" t="s">
        <v>16</v>
      </c>
      <c r="C15" s="5" t="str">
        <f>HYPERLINK("http://data.overheid.nl/data/dataset/contractgrens-oever-vlakken-ivov-contract-2016-ivov-rijkswaterstaat-wnz","Contractgrens Oever (vlakken) IVOV-contract 2016 IVOV Rijkswaterstaat WNZ")</f>
        <v>Contractgrens Oever (vlakken) IVOV-contract 2016 IVOV Rijkswaterstaat WNZ</v>
      </c>
      <c r="D15" s="6" t="s">
        <v>17</v>
      </c>
      <c r="E15" s="5" t="s">
        <v>18</v>
      </c>
      <c r="F15" s="6" t="s">
        <v>813</v>
      </c>
      <c r="G15" s="5" t="s">
        <v>32</v>
      </c>
      <c r="H15" s="6" t="s">
        <v>20</v>
      </c>
      <c r="I15" s="5" t="s">
        <v>21</v>
      </c>
      <c r="J15" s="4" t="s">
        <v>22</v>
      </c>
      <c r="K15" s="2" t="s">
        <v>23</v>
      </c>
      <c r="L15" s="6" t="s">
        <v>24</v>
      </c>
      <c r="M15" s="5" t="s">
        <v>25</v>
      </c>
      <c r="N15" s="3" t="s">
        <v>26</v>
      </c>
      <c r="O15" s="5">
        <v>2</v>
      </c>
      <c r="P15" s="3" t="s">
        <v>23</v>
      </c>
      <c r="Q15" s="5"/>
    </row>
    <row r="16" spans="1:17" ht="62">
      <c r="A16" s="5">
        <v>11</v>
      </c>
      <c r="B16" s="6" t="s">
        <v>16</v>
      </c>
      <c r="C16" s="5" t="str">
        <f>HYPERLINK("http://data.overheid.nl/data/dataset/contractgrens-oever-lijnen-ivov-contract-2016-rijkswaterstaat-wnz","Contractgrens Oever (lijnen) IVOV-contract 2016 Rijkswaterstaat WNZ")</f>
        <v>Contractgrens Oever (lijnen) IVOV-contract 2016 Rijkswaterstaat WNZ</v>
      </c>
      <c r="D16" s="6" t="s">
        <v>17</v>
      </c>
      <c r="E16" s="5" t="s">
        <v>18</v>
      </c>
      <c r="F16" s="6" t="s">
        <v>813</v>
      </c>
      <c r="G16" s="5" t="s">
        <v>32</v>
      </c>
      <c r="H16" s="6" t="s">
        <v>20</v>
      </c>
      <c r="I16" s="5" t="s">
        <v>21</v>
      </c>
      <c r="J16" s="4" t="s">
        <v>22</v>
      </c>
      <c r="K16" s="2" t="s">
        <v>23</v>
      </c>
      <c r="L16" s="6" t="s">
        <v>24</v>
      </c>
      <c r="M16" s="5" t="s">
        <v>25</v>
      </c>
      <c r="N16" s="3" t="s">
        <v>26</v>
      </c>
      <c r="O16" s="5">
        <v>2</v>
      </c>
      <c r="P16" s="3" t="s">
        <v>23</v>
      </c>
      <c r="Q16" s="5"/>
    </row>
    <row r="17" spans="1:17" ht="62">
      <c r="A17" s="5">
        <v>12</v>
      </c>
      <c r="B17" s="6" t="s">
        <v>16</v>
      </c>
      <c r="C17" s="5" t="str">
        <f>HYPERLINK("http://data.overheid.nl/data/dataset/contractgrens-kunstwerk-vlakken-ivov-contract-2016-rijkswaterstaat-wnz","Contractgrens Kunstwerk (vlakken) IVOV-contract 2016 Rijkswaterstaat WNZ")</f>
        <v>Contractgrens Kunstwerk (vlakken) IVOV-contract 2016 Rijkswaterstaat WNZ</v>
      </c>
      <c r="D17" s="6" t="s">
        <v>17</v>
      </c>
      <c r="E17" s="5" t="s">
        <v>18</v>
      </c>
      <c r="F17" s="6" t="s">
        <v>813</v>
      </c>
      <c r="G17" s="5" t="s">
        <v>33</v>
      </c>
      <c r="H17" s="6" t="s">
        <v>20</v>
      </c>
      <c r="I17" s="5" t="s">
        <v>21</v>
      </c>
      <c r="J17" s="4" t="s">
        <v>22</v>
      </c>
      <c r="K17" s="2" t="s">
        <v>23</v>
      </c>
      <c r="L17" s="6" t="s">
        <v>24</v>
      </c>
      <c r="M17" s="5" t="s">
        <v>25</v>
      </c>
      <c r="N17" s="3" t="s">
        <v>26</v>
      </c>
      <c r="O17" s="5">
        <v>2</v>
      </c>
      <c r="P17" s="3" t="s">
        <v>23</v>
      </c>
      <c r="Q17" s="5"/>
    </row>
    <row r="18" spans="1:17" ht="62">
      <c r="A18" s="5">
        <v>13</v>
      </c>
      <c r="B18" s="6" t="s">
        <v>16</v>
      </c>
      <c r="C18" s="5" t="str">
        <f>HYPERLINK("http://data.overheid.nl/data/dataset/contractgrens-kunstwerk-punten-ivov-contract-2016-rijkswaterstaat-wnz","Contractgrens Kunstwerk (punten) IVOV-contract 2016 Rijkswaterstaat WNZ")</f>
        <v>Contractgrens Kunstwerk (punten) IVOV-contract 2016 Rijkswaterstaat WNZ</v>
      </c>
      <c r="D18" s="6" t="s">
        <v>17</v>
      </c>
      <c r="E18" s="5" t="s">
        <v>18</v>
      </c>
      <c r="F18" s="6" t="s">
        <v>813</v>
      </c>
      <c r="G18" s="5" t="s">
        <v>31</v>
      </c>
      <c r="H18" s="6" t="s">
        <v>20</v>
      </c>
      <c r="I18" s="5" t="s">
        <v>21</v>
      </c>
      <c r="J18" s="4" t="s">
        <v>22</v>
      </c>
      <c r="K18" s="2" t="s">
        <v>23</v>
      </c>
      <c r="L18" s="6" t="s">
        <v>24</v>
      </c>
      <c r="M18" s="5" t="s">
        <v>25</v>
      </c>
      <c r="N18" s="3" t="s">
        <v>26</v>
      </c>
      <c r="O18" s="5">
        <v>2</v>
      </c>
      <c r="P18" s="3" t="s">
        <v>23</v>
      </c>
      <c r="Q18" s="5"/>
    </row>
    <row r="19" spans="1:17" ht="62">
      <c r="A19" s="5">
        <v>14</v>
      </c>
      <c r="B19" s="6" t="s">
        <v>16</v>
      </c>
      <c r="C19" s="5" t="str">
        <f>HYPERLINK("http://data.overheid.nl/data/dataset/contractgrens-kunstwerk-lijnen-ivov-contract-2016-rijkswaterstaat-wnz","Contractgrens Kunstwerk (lijnen) IVOV-contract 2016 Rijkswaterstaat WNZ")</f>
        <v>Contractgrens Kunstwerk (lijnen) IVOV-contract 2016 Rijkswaterstaat WNZ</v>
      </c>
      <c r="D19" s="6" t="s">
        <v>17</v>
      </c>
      <c r="E19" s="5" t="s">
        <v>18</v>
      </c>
      <c r="F19" s="6" t="s">
        <v>813</v>
      </c>
      <c r="G19" s="5" t="s">
        <v>34</v>
      </c>
      <c r="H19" s="6" t="s">
        <v>20</v>
      </c>
      <c r="I19" s="5" t="s">
        <v>21</v>
      </c>
      <c r="J19" s="4" t="s">
        <v>22</v>
      </c>
      <c r="K19" s="2" t="s">
        <v>23</v>
      </c>
      <c r="L19" s="6" t="s">
        <v>24</v>
      </c>
      <c r="M19" s="5" t="s">
        <v>25</v>
      </c>
      <c r="N19" s="3" t="s">
        <v>26</v>
      </c>
      <c r="O19" s="5">
        <v>2</v>
      </c>
      <c r="P19" s="3" t="s">
        <v>23</v>
      </c>
      <c r="Q19" s="5"/>
    </row>
    <row r="20" spans="1:17" ht="62">
      <c r="A20" s="5">
        <v>15</v>
      </c>
      <c r="B20" s="6" t="s">
        <v>16</v>
      </c>
      <c r="C20" s="5" t="str">
        <f>HYPERLINK("http://data.overheid.nl/data/dataset/contractgrens-exploitatie-vlakken-ivov-contract-2016-rijkswaterstaat-wnz","Contractgrens Exploitatie (vlakken) IVOV-contract 2016 Rijkswaterstaat WNZ")</f>
        <v>Contractgrens Exploitatie (vlakken) IVOV-contract 2016 Rijkswaterstaat WNZ</v>
      </c>
      <c r="D20" s="6" t="s">
        <v>17</v>
      </c>
      <c r="E20" s="5" t="s">
        <v>18</v>
      </c>
      <c r="F20" s="6" t="s">
        <v>813</v>
      </c>
      <c r="G20" s="5" t="s">
        <v>33</v>
      </c>
      <c r="H20" s="6" t="s">
        <v>20</v>
      </c>
      <c r="I20" s="5" t="s">
        <v>21</v>
      </c>
      <c r="J20" s="4" t="s">
        <v>22</v>
      </c>
      <c r="K20" s="2" t="s">
        <v>23</v>
      </c>
      <c r="L20" s="6" t="s">
        <v>24</v>
      </c>
      <c r="M20" s="5" t="s">
        <v>25</v>
      </c>
      <c r="N20" s="3" t="s">
        <v>26</v>
      </c>
      <c r="O20" s="5">
        <v>2</v>
      </c>
      <c r="P20" s="3" t="s">
        <v>23</v>
      </c>
      <c r="Q20" s="5"/>
    </row>
    <row r="21" spans="1:17" ht="77.5">
      <c r="A21" s="5">
        <v>16</v>
      </c>
      <c r="B21" s="6" t="s">
        <v>16</v>
      </c>
      <c r="C21" s="5" t="str">
        <f>HYPERLINK("http://data.overheid.nl/data/dataset/waddenzee-2015-hoogte-platen","Waddenzee 2015 (hoogte platen)")</f>
        <v>Waddenzee 2015 (hoogte platen)</v>
      </c>
      <c r="D21" s="6" t="s">
        <v>17</v>
      </c>
      <c r="E21" s="5" t="s">
        <v>18</v>
      </c>
      <c r="F21" s="6" t="s">
        <v>813</v>
      </c>
      <c r="G21" s="5" t="s">
        <v>35</v>
      </c>
      <c r="H21" s="6" t="s">
        <v>20</v>
      </c>
      <c r="I21" s="5" t="s">
        <v>21</v>
      </c>
      <c r="J21" s="4" t="s">
        <v>22</v>
      </c>
      <c r="K21" s="2" t="s">
        <v>23</v>
      </c>
      <c r="L21" s="6" t="s">
        <v>24</v>
      </c>
      <c r="M21" s="5" t="s">
        <v>25</v>
      </c>
      <c r="N21" s="3" t="s">
        <v>26</v>
      </c>
      <c r="O21" s="5">
        <v>2</v>
      </c>
      <c r="P21" s="3" t="s">
        <v>23</v>
      </c>
      <c r="Q21" s="5"/>
    </row>
    <row r="22" spans="1:17" ht="62">
      <c r="A22" s="5">
        <v>17</v>
      </c>
      <c r="B22" s="6" t="s">
        <v>16</v>
      </c>
      <c r="C22" s="5" t="str">
        <f>HYPERLINK("http://data.overheid.nl/data/dataset/overzicht-vlieglijnen-westerschelde-2015","Overzicht vlieglijnen Westerschelde 2015")</f>
        <v>Overzicht vlieglijnen Westerschelde 2015</v>
      </c>
      <c r="D22" s="6" t="s">
        <v>17</v>
      </c>
      <c r="E22" s="5" t="s">
        <v>18</v>
      </c>
      <c r="F22" s="6" t="s">
        <v>813</v>
      </c>
      <c r="G22" s="5" t="s">
        <v>36</v>
      </c>
      <c r="H22" s="6" t="s">
        <v>20</v>
      </c>
      <c r="I22" s="5" t="s">
        <v>21</v>
      </c>
      <c r="J22" s="4" t="s">
        <v>22</v>
      </c>
      <c r="K22" s="2" t="s">
        <v>23</v>
      </c>
      <c r="L22" s="6" t="s">
        <v>24</v>
      </c>
      <c r="M22" s="5" t="s">
        <v>25</v>
      </c>
      <c r="N22" s="3" t="s">
        <v>26</v>
      </c>
      <c r="O22" s="5">
        <v>2</v>
      </c>
      <c r="P22" s="3" t="s">
        <v>23</v>
      </c>
      <c r="Q22" s="5"/>
    </row>
    <row r="23" spans="1:17" ht="62">
      <c r="A23" s="5">
        <v>18</v>
      </c>
      <c r="B23" s="6" t="s">
        <v>16</v>
      </c>
      <c r="C23" s="5" t="str">
        <f>HYPERLINK("http://data.overheid.nl/data/dataset/overzicht-vlieglijnen-waddenzee-2015","Overzicht vlieglijnen Waddenzee 2015")</f>
        <v>Overzicht vlieglijnen Waddenzee 2015</v>
      </c>
      <c r="D23" s="6" t="s">
        <v>17</v>
      </c>
      <c r="E23" s="5" t="s">
        <v>18</v>
      </c>
      <c r="F23" s="6" t="s">
        <v>813</v>
      </c>
      <c r="G23" s="5" t="s">
        <v>37</v>
      </c>
      <c r="H23" s="6" t="s">
        <v>20</v>
      </c>
      <c r="I23" s="5" t="s">
        <v>21</v>
      </c>
      <c r="J23" s="4" t="s">
        <v>22</v>
      </c>
      <c r="K23" s="2" t="s">
        <v>23</v>
      </c>
      <c r="L23" s="6" t="s">
        <v>24</v>
      </c>
      <c r="M23" s="5" t="s">
        <v>25</v>
      </c>
      <c r="N23" s="3" t="s">
        <v>26</v>
      </c>
      <c r="O23" s="5">
        <v>2</v>
      </c>
      <c r="P23" s="3" t="s">
        <v>23</v>
      </c>
      <c r="Q23" s="5"/>
    </row>
    <row r="24" spans="1:17" ht="124">
      <c r="A24" s="5">
        <v>19</v>
      </c>
      <c r="B24" s="6" t="s">
        <v>16</v>
      </c>
      <c r="C24" s="5" t="str">
        <f>HYPERLINK("http://data.overheid.nl/data/dataset/nationaal-wegen-bestand-wegen-wegvakken-2015","Nationaal Wegen Bestand Wegen wegvakken 2015")</f>
        <v>Nationaal Wegen Bestand Wegen wegvakken 2015</v>
      </c>
      <c r="D24" s="6" t="s">
        <v>17</v>
      </c>
      <c r="E24" s="5" t="s">
        <v>18</v>
      </c>
      <c r="F24" s="6" t="s">
        <v>813</v>
      </c>
      <c r="G24" s="5" t="s">
        <v>19</v>
      </c>
      <c r="H24" s="6" t="s">
        <v>20</v>
      </c>
      <c r="I24" s="5" t="s">
        <v>21</v>
      </c>
      <c r="J24" s="7" t="s">
        <v>38</v>
      </c>
      <c r="K24" s="2" t="s">
        <v>23</v>
      </c>
      <c r="L24" s="6" t="s">
        <v>24</v>
      </c>
      <c r="M24" s="5" t="s">
        <v>25</v>
      </c>
      <c r="N24" s="3" t="s">
        <v>26</v>
      </c>
      <c r="O24" s="5">
        <v>3</v>
      </c>
      <c r="P24" s="3" t="s">
        <v>23</v>
      </c>
      <c r="Q24" s="5"/>
    </row>
    <row r="25" spans="1:17" ht="124">
      <c r="A25" s="5">
        <v>20</v>
      </c>
      <c r="B25" s="6" t="s">
        <v>16</v>
      </c>
      <c r="C25" s="5" t="str">
        <f>HYPERLINK("http://data.overheid.nl/data/dataset/nationaal-wegen-bestand-wegen-hectopunten-2015","Nationaal Wegen Bestand Wegen hectopunten 2015")</f>
        <v>Nationaal Wegen Bestand Wegen hectopunten 2015</v>
      </c>
      <c r="D25" s="6" t="s">
        <v>17</v>
      </c>
      <c r="E25" s="5" t="s">
        <v>18</v>
      </c>
      <c r="F25" s="6" t="s">
        <v>813</v>
      </c>
      <c r="G25" s="5" t="s">
        <v>27</v>
      </c>
      <c r="H25" s="6" t="s">
        <v>20</v>
      </c>
      <c r="I25" s="5" t="s">
        <v>21</v>
      </c>
      <c r="J25" s="4" t="s">
        <v>22</v>
      </c>
      <c r="K25" s="2" t="s">
        <v>23</v>
      </c>
      <c r="L25" s="6" t="s">
        <v>24</v>
      </c>
      <c r="M25" s="5" t="s">
        <v>25</v>
      </c>
      <c r="N25" s="3" t="s">
        <v>26</v>
      </c>
      <c r="O25" s="5">
        <v>3</v>
      </c>
      <c r="P25" s="3" t="s">
        <v>23</v>
      </c>
      <c r="Q25" s="5"/>
    </row>
    <row r="26" spans="1:17" ht="46.5">
      <c r="A26" s="5">
        <v>21</v>
      </c>
      <c r="B26" s="6" t="s">
        <v>16</v>
      </c>
      <c r="C26" s="5" t="str">
        <f>HYPERLINK("http://data.overheid.nl/data/dataset/kust-zuid-holland-zandmotor-2015","Kust Zuid-Holland Zandmotor 2015")</f>
        <v>Kust Zuid-Holland Zandmotor 2015</v>
      </c>
      <c r="D26" s="6" t="s">
        <v>17</v>
      </c>
      <c r="E26" s="5" t="s">
        <v>18</v>
      </c>
      <c r="F26" s="6" t="s">
        <v>813</v>
      </c>
      <c r="G26" s="5" t="s">
        <v>39</v>
      </c>
      <c r="H26" s="6" t="s">
        <v>20</v>
      </c>
      <c r="I26" s="5" t="s">
        <v>21</v>
      </c>
      <c r="J26" s="4" t="s">
        <v>22</v>
      </c>
      <c r="K26" s="2" t="s">
        <v>23</v>
      </c>
      <c r="L26" s="6" t="s">
        <v>24</v>
      </c>
      <c r="M26" s="5" t="s">
        <v>25</v>
      </c>
      <c r="N26" s="3" t="s">
        <v>26</v>
      </c>
      <c r="O26" s="5">
        <v>2</v>
      </c>
      <c r="P26" s="3" t="s">
        <v>23</v>
      </c>
      <c r="Q26" s="5"/>
    </row>
    <row r="27" spans="1:17" ht="62">
      <c r="A27" s="5">
        <v>22</v>
      </c>
      <c r="B27" s="6" t="s">
        <v>16</v>
      </c>
      <c r="C27" s="5" t="str">
        <f>HYPERLINK("http://data.overheid.nl/data/dataset/hoogtebestand-westerschelde-2015","Hoogtebestand Westerschelde 2015")</f>
        <v>Hoogtebestand Westerschelde 2015</v>
      </c>
      <c r="D27" s="6" t="s">
        <v>17</v>
      </c>
      <c r="E27" s="5" t="s">
        <v>18</v>
      </c>
      <c r="F27" s="6" t="s">
        <v>813</v>
      </c>
      <c r="G27" s="5" t="s">
        <v>40</v>
      </c>
      <c r="H27" s="6" t="s">
        <v>20</v>
      </c>
      <c r="I27" s="5" t="s">
        <v>21</v>
      </c>
      <c r="J27" s="4" t="s">
        <v>22</v>
      </c>
      <c r="K27" s="2" t="s">
        <v>23</v>
      </c>
      <c r="L27" s="6" t="s">
        <v>24</v>
      </c>
      <c r="M27" s="5" t="s">
        <v>25</v>
      </c>
      <c r="N27" s="3" t="s">
        <v>26</v>
      </c>
      <c r="O27" s="5">
        <v>2</v>
      </c>
      <c r="P27" s="3" t="s">
        <v>23</v>
      </c>
      <c r="Q27" s="5"/>
    </row>
    <row r="28" spans="1:17" ht="31">
      <c r="A28" s="5">
        <v>23</v>
      </c>
      <c r="B28" s="6" t="s">
        <v>16</v>
      </c>
      <c r="C28" s="5" t="str">
        <f>HYPERLINK("http://data.overheid.nl/data/dataset/verkeersintensiteiten-inweva-werkdag-2014","Verkeersintensiteiten INWEVA werkdag 2014")</f>
        <v>Verkeersintensiteiten INWEVA werkdag 2014</v>
      </c>
      <c r="D28" s="6" t="s">
        <v>17</v>
      </c>
      <c r="E28" s="5" t="s">
        <v>18</v>
      </c>
      <c r="F28" s="6" t="s">
        <v>813</v>
      </c>
      <c r="G28" s="5" t="s">
        <v>41</v>
      </c>
      <c r="H28" s="6" t="s">
        <v>20</v>
      </c>
      <c r="I28" s="5" t="s">
        <v>21</v>
      </c>
      <c r="J28" s="4" t="s">
        <v>22</v>
      </c>
      <c r="K28" s="2" t="s">
        <v>23</v>
      </c>
      <c r="L28" s="6" t="s">
        <v>24</v>
      </c>
      <c r="M28" s="5" t="s">
        <v>25</v>
      </c>
      <c r="N28" s="3" t="s">
        <v>26</v>
      </c>
      <c r="O28" s="5">
        <v>4</v>
      </c>
      <c r="P28" s="3" t="s">
        <v>23</v>
      </c>
      <c r="Q28" s="5"/>
    </row>
    <row r="29" spans="1:17" ht="31">
      <c r="A29" s="5">
        <v>24</v>
      </c>
      <c r="B29" s="6" t="s">
        <v>16</v>
      </c>
      <c r="C29" s="5" t="str">
        <f>HYPERLINK("http://data.overheid.nl/data/dataset/verkeersintensiteiten-inweva-weekdag-2014","Verkeersintensiteiten INWEVA weekdag 2014")</f>
        <v>Verkeersintensiteiten INWEVA weekdag 2014</v>
      </c>
      <c r="D29" s="6" t="s">
        <v>17</v>
      </c>
      <c r="E29" s="5" t="s">
        <v>18</v>
      </c>
      <c r="F29" s="6" t="s">
        <v>813</v>
      </c>
      <c r="G29" s="5" t="s">
        <v>42</v>
      </c>
      <c r="H29" s="6" t="s">
        <v>28</v>
      </c>
      <c r="I29" s="5" t="s">
        <v>21</v>
      </c>
      <c r="J29" s="4" t="s">
        <v>22</v>
      </c>
      <c r="K29" s="2" t="s">
        <v>23</v>
      </c>
      <c r="L29" s="6" t="s">
        <v>24</v>
      </c>
      <c r="M29" s="5" t="s">
        <v>25</v>
      </c>
      <c r="N29" s="3" t="s">
        <v>26</v>
      </c>
      <c r="O29" s="5">
        <v>4</v>
      </c>
      <c r="P29" s="3" t="s">
        <v>23</v>
      </c>
      <c r="Q29" s="5"/>
    </row>
    <row r="30" spans="1:17" ht="31">
      <c r="A30" s="5">
        <v>25</v>
      </c>
      <c r="B30" s="6" t="s">
        <v>16</v>
      </c>
      <c r="C30" s="5" t="str">
        <f>HYPERLINK("http://data.overheid.nl/data/dataset/verkeersintensiteiten-inweva-spits-2014","Verkeersintensiteiten INWEVA spits 2014")</f>
        <v>Verkeersintensiteiten INWEVA spits 2014</v>
      </c>
      <c r="D30" s="6" t="s">
        <v>17</v>
      </c>
      <c r="E30" s="5" t="s">
        <v>18</v>
      </c>
      <c r="F30" s="6" t="s">
        <v>813</v>
      </c>
      <c r="G30" s="5" t="s">
        <v>43</v>
      </c>
      <c r="H30" s="6" t="s">
        <v>20</v>
      </c>
      <c r="I30" s="5" t="s">
        <v>21</v>
      </c>
      <c r="J30" s="4" t="s">
        <v>22</v>
      </c>
      <c r="K30" s="2" t="s">
        <v>23</v>
      </c>
      <c r="L30" s="6" t="s">
        <v>24</v>
      </c>
      <c r="M30" s="5" t="s">
        <v>25</v>
      </c>
      <c r="N30" s="3" t="s">
        <v>26</v>
      </c>
      <c r="O30" s="5">
        <v>8</v>
      </c>
      <c r="P30" s="3" t="s">
        <v>23</v>
      </c>
      <c r="Q30" s="5"/>
    </row>
    <row r="31" spans="1:17" ht="31">
      <c r="A31" s="5">
        <v>26</v>
      </c>
      <c r="B31" s="6" t="s">
        <v>16</v>
      </c>
      <c r="C31" s="5" t="str">
        <f>HYPERLINK("http://data.overheid.nl/data/dataset/vaarwegkenmerken-in-nederland-sluizen","Vaarwegkenmerken in Nederland sluizen")</f>
        <v>Vaarwegkenmerken in Nederland sluizen</v>
      </c>
      <c r="D31" s="6" t="s">
        <v>17</v>
      </c>
      <c r="E31" s="5" t="s">
        <v>18</v>
      </c>
      <c r="F31" s="6" t="s">
        <v>813</v>
      </c>
      <c r="G31" s="5" t="s">
        <v>44</v>
      </c>
      <c r="H31" s="6" t="s">
        <v>20</v>
      </c>
      <c r="I31" s="5" t="s">
        <v>21</v>
      </c>
      <c r="J31" s="4" t="s">
        <v>22</v>
      </c>
      <c r="K31" s="2" t="s">
        <v>23</v>
      </c>
      <c r="L31" s="6" t="s">
        <v>24</v>
      </c>
      <c r="M31" s="5" t="s">
        <v>25</v>
      </c>
      <c r="N31" s="3" t="s">
        <v>26</v>
      </c>
      <c r="O31" s="5">
        <v>2</v>
      </c>
      <c r="P31" s="3" t="s">
        <v>23</v>
      </c>
      <c r="Q31" s="5"/>
    </row>
    <row r="32" spans="1:17" ht="124">
      <c r="A32" s="5">
        <v>27</v>
      </c>
      <c r="B32" s="6" t="s">
        <v>16</v>
      </c>
      <c r="C32" s="5" t="str">
        <f>HYPERLINK("http://data.overheid.nl/data/dataset/vaarwegkenmerken-in-nederland-mgd","Vaarwegkenmerken in Nederland MGD")</f>
        <v>Vaarwegkenmerken in Nederland MGD</v>
      </c>
      <c r="D32" s="6" t="s">
        <v>17</v>
      </c>
      <c r="E32" s="5" t="s">
        <v>18</v>
      </c>
      <c r="F32" s="6" t="s">
        <v>813</v>
      </c>
      <c r="G32" s="5" t="s">
        <v>45</v>
      </c>
      <c r="H32" s="6" t="s">
        <v>20</v>
      </c>
      <c r="I32" s="5" t="s">
        <v>21</v>
      </c>
      <c r="J32" s="4" t="s">
        <v>22</v>
      </c>
      <c r="K32" s="2" t="s">
        <v>23</v>
      </c>
      <c r="L32" s="6" t="s">
        <v>24</v>
      </c>
      <c r="M32" s="5" t="s">
        <v>25</v>
      </c>
      <c r="N32" s="3" t="s">
        <v>26</v>
      </c>
      <c r="O32" s="5">
        <v>2</v>
      </c>
      <c r="P32" s="3" t="s">
        <v>23</v>
      </c>
      <c r="Q32" s="5"/>
    </row>
    <row r="33" spans="1:17" ht="201.5">
      <c r="A33" s="5">
        <v>28</v>
      </c>
      <c r="B33" s="6" t="s">
        <v>16</v>
      </c>
      <c r="C33" s="5" t="str">
        <f>HYPERLINK("http://data.overheid.nl/data/dataset/vaarwegkenmerken-in-nederland-bevaarbaarheidsinformatie","Vaarwegkenmerken in Nederland bevaarbaarheidsinformatie")</f>
        <v>Vaarwegkenmerken in Nederland bevaarbaarheidsinformatie</v>
      </c>
      <c r="D33" s="6" t="s">
        <v>17</v>
      </c>
      <c r="E33" s="5" t="s">
        <v>18</v>
      </c>
      <c r="F33" s="6" t="s">
        <v>813</v>
      </c>
      <c r="G33" s="5" t="s">
        <v>46</v>
      </c>
      <c r="H33" s="6" t="s">
        <v>20</v>
      </c>
      <c r="I33" s="5" t="s">
        <v>21</v>
      </c>
      <c r="J33" s="4" t="s">
        <v>22</v>
      </c>
      <c r="K33" s="2" t="s">
        <v>23</v>
      </c>
      <c r="L33" s="6" t="s">
        <v>24</v>
      </c>
      <c r="M33" s="5" t="s">
        <v>25</v>
      </c>
      <c r="N33" s="3" t="s">
        <v>26</v>
      </c>
      <c r="O33" s="5">
        <v>5</v>
      </c>
      <c r="P33" s="3" t="s">
        <v>23</v>
      </c>
      <c r="Q33" s="5"/>
    </row>
    <row r="34" spans="1:17" ht="77.5">
      <c r="A34" s="5">
        <v>29</v>
      </c>
      <c r="B34" s="6" t="s">
        <v>16</v>
      </c>
      <c r="C34" s="5" t="str">
        <f>HYPERLINK("http://data.overheid.nl/data/dataset/rivier-kilometermarkeringen-voor-dekkingsgebied-vegetatielegger","Rivier kilometermarkeringen voor dekkingsgebied Vegetatielegger")</f>
        <v>Rivier kilometermarkeringen voor dekkingsgebied Vegetatielegger</v>
      </c>
      <c r="D34" s="6" t="s">
        <v>17</v>
      </c>
      <c r="E34" s="5" t="s">
        <v>18</v>
      </c>
      <c r="F34" s="6" t="s">
        <v>813</v>
      </c>
      <c r="G34" s="5" t="s">
        <v>47</v>
      </c>
      <c r="H34" s="6" t="s">
        <v>28</v>
      </c>
      <c r="I34" s="5" t="s">
        <v>21</v>
      </c>
      <c r="J34" s="4" t="s">
        <v>22</v>
      </c>
      <c r="K34" s="2" t="s">
        <v>23</v>
      </c>
      <c r="L34" s="6" t="s">
        <v>24</v>
      </c>
      <c r="M34" s="5" t="s">
        <v>25</v>
      </c>
      <c r="N34" s="3" t="s">
        <v>26</v>
      </c>
      <c r="O34" s="5">
        <v>2</v>
      </c>
      <c r="P34" s="3" t="s">
        <v>23</v>
      </c>
      <c r="Q34" s="5"/>
    </row>
    <row r="35" spans="1:17" ht="62">
      <c r="A35" s="5">
        <v>30</v>
      </c>
      <c r="B35" s="6" t="s">
        <v>16</v>
      </c>
      <c r="C35" s="5" t="str">
        <f>HYPERLINK("http://data.overheid.nl/data/dataset/perceelsgrenzen-voor-dekkingsgebied-vegetatielegger","Perceelsgrenzen voor dekkingsgebied Vegetatielegger")</f>
        <v>Perceelsgrenzen voor dekkingsgebied Vegetatielegger</v>
      </c>
      <c r="D35" s="6" t="s">
        <v>17</v>
      </c>
      <c r="E35" s="5" t="s">
        <v>18</v>
      </c>
      <c r="F35" s="6" t="s">
        <v>813</v>
      </c>
      <c r="G35" s="5" t="s">
        <v>48</v>
      </c>
      <c r="H35" s="6" t="s">
        <v>20</v>
      </c>
      <c r="I35" s="5" t="s">
        <v>21</v>
      </c>
      <c r="J35" s="4" t="s">
        <v>22</v>
      </c>
      <c r="K35" s="2" t="s">
        <v>23</v>
      </c>
      <c r="L35" s="6" t="s">
        <v>24</v>
      </c>
      <c r="M35" s="5" t="s">
        <v>25</v>
      </c>
      <c r="N35" s="3" t="s">
        <v>26</v>
      </c>
      <c r="O35" s="5">
        <v>2</v>
      </c>
      <c r="P35" s="3" t="s">
        <v>23</v>
      </c>
      <c r="Q35" s="5"/>
    </row>
    <row r="36" spans="1:17" ht="62">
      <c r="A36" s="5">
        <v>31</v>
      </c>
      <c r="B36" s="6" t="s">
        <v>16</v>
      </c>
      <c r="C36" s="5" t="str">
        <f>HYPERLINK("http://data.overheid.nl/data/dataset/nis-bevroren-versie-nationaal-wegen-bestand-vaarwegvakken","NIS bevroren versie: Nationaal Wegen Bestand Vaarwegvakken")</f>
        <v>NIS bevroren versie: Nationaal Wegen Bestand Vaarwegvakken</v>
      </c>
      <c r="D36" s="6" t="s">
        <v>17</v>
      </c>
      <c r="E36" s="5" t="s">
        <v>18</v>
      </c>
      <c r="F36" s="6" t="s">
        <v>813</v>
      </c>
      <c r="G36" s="5" t="s">
        <v>49</v>
      </c>
      <c r="H36" s="6" t="s">
        <v>28</v>
      </c>
      <c r="I36" s="5" t="s">
        <v>21</v>
      </c>
      <c r="J36" s="4" t="s">
        <v>22</v>
      </c>
      <c r="K36" s="2" t="s">
        <v>23</v>
      </c>
      <c r="L36" s="6" t="s">
        <v>24</v>
      </c>
      <c r="M36" s="5" t="s">
        <v>25</v>
      </c>
      <c r="N36" s="3" t="s">
        <v>26</v>
      </c>
      <c r="O36" s="5">
        <v>2</v>
      </c>
      <c r="P36" s="3" t="s">
        <v>23</v>
      </c>
      <c r="Q36" s="5"/>
    </row>
    <row r="37" spans="1:17" ht="62">
      <c r="A37" s="5">
        <v>32</v>
      </c>
      <c r="B37" s="6" t="s">
        <v>16</v>
      </c>
      <c r="C37" s="5" t="str">
        <f>HYPERLINK("http://data.overheid.nl/data/dataset/nis-bevroren-versie-nationaal-wegen-bestand-vaarwegen-kilometermarkeringen","NIS bevroren versie: Nationaal Wegen Bestand Vaarwegen kilometermarkeringen")</f>
        <v>NIS bevroren versie: Nationaal Wegen Bestand Vaarwegen kilometermarkeringen</v>
      </c>
      <c r="D37" s="6" t="s">
        <v>17</v>
      </c>
      <c r="E37" s="5" t="s">
        <v>18</v>
      </c>
      <c r="F37" s="6" t="s">
        <v>813</v>
      </c>
      <c r="G37" s="5" t="s">
        <v>49</v>
      </c>
      <c r="H37" s="6" t="s">
        <v>20</v>
      </c>
      <c r="I37" s="5" t="s">
        <v>21</v>
      </c>
      <c r="J37" s="4" t="s">
        <v>22</v>
      </c>
      <c r="K37" s="2" t="s">
        <v>23</v>
      </c>
      <c r="L37" s="6" t="s">
        <v>24</v>
      </c>
      <c r="M37" s="5" t="s">
        <v>25</v>
      </c>
      <c r="N37" s="3" t="s">
        <v>26</v>
      </c>
      <c r="O37" s="5">
        <v>6</v>
      </c>
      <c r="P37" s="3" t="s">
        <v>23</v>
      </c>
      <c r="Q37" s="5"/>
    </row>
    <row r="38" spans="1:17" ht="124">
      <c r="A38" s="5">
        <v>33</v>
      </c>
      <c r="B38" s="6" t="s">
        <v>16</v>
      </c>
      <c r="C38" s="5" t="str">
        <f>HYPERLINK("http://data.overheid.nl/data/dataset/nationaal-wegen-bestand-wegen-wegvakken-2014","Nationaal Wegen Bestand Wegen wegvakken 2014")</f>
        <v>Nationaal Wegen Bestand Wegen wegvakken 2014</v>
      </c>
      <c r="D38" s="6" t="s">
        <v>17</v>
      </c>
      <c r="E38" s="5" t="s">
        <v>18</v>
      </c>
      <c r="F38" s="6" t="s">
        <v>813</v>
      </c>
      <c r="G38" s="5" t="s">
        <v>19</v>
      </c>
      <c r="H38" s="6" t="s">
        <v>20</v>
      </c>
      <c r="I38" s="5" t="s">
        <v>21</v>
      </c>
      <c r="J38" s="4" t="s">
        <v>22</v>
      </c>
      <c r="K38" s="2" t="s">
        <v>23</v>
      </c>
      <c r="L38" s="6" t="s">
        <v>24</v>
      </c>
      <c r="M38" s="5" t="s">
        <v>25</v>
      </c>
      <c r="N38" s="3" t="s">
        <v>26</v>
      </c>
      <c r="O38" s="5">
        <v>2</v>
      </c>
      <c r="P38" s="3" t="s">
        <v>23</v>
      </c>
      <c r="Q38" s="5"/>
    </row>
    <row r="39" spans="1:17" ht="124">
      <c r="A39" s="5">
        <v>34</v>
      </c>
      <c r="B39" s="6" t="s">
        <v>16</v>
      </c>
      <c r="C39" s="5" t="str">
        <f>HYPERLINK("http://data.overheid.nl/data/dataset/nationaal-wegen-bestand-wegen-hectopunten-2014","Nationaal Wegen Bestand Wegen hectopunten 2014")</f>
        <v>Nationaal Wegen Bestand Wegen hectopunten 2014</v>
      </c>
      <c r="D39" s="6" t="s">
        <v>17</v>
      </c>
      <c r="E39" s="5" t="s">
        <v>18</v>
      </c>
      <c r="F39" s="6" t="s">
        <v>813</v>
      </c>
      <c r="G39" s="5" t="s">
        <v>27</v>
      </c>
      <c r="H39" s="6" t="s">
        <v>20</v>
      </c>
      <c r="I39" s="5" t="s">
        <v>21</v>
      </c>
      <c r="J39" s="4" t="s">
        <v>22</v>
      </c>
      <c r="K39" s="2" t="s">
        <v>23</v>
      </c>
      <c r="L39" s="6" t="s">
        <v>24</v>
      </c>
      <c r="M39" s="5" t="s">
        <v>25</v>
      </c>
      <c r="N39" s="3" t="s">
        <v>26</v>
      </c>
      <c r="O39" s="5">
        <v>2</v>
      </c>
      <c r="P39" s="3" t="s">
        <v>23</v>
      </c>
      <c r="Q39" s="5"/>
    </row>
    <row r="40" spans="1:17" ht="155">
      <c r="A40" s="5">
        <v>35</v>
      </c>
      <c r="B40" s="6" t="s">
        <v>16</v>
      </c>
      <c r="C40" s="5" t="str">
        <f>HYPERLINK("http://data.overheid.nl/data/dataset/mijnbouwregeling-bijlage-5-militaire-gebieden","Mijnbouwregeling bijlage 5, militaire gebieden")</f>
        <v>Mijnbouwregeling bijlage 5, militaire gebieden</v>
      </c>
      <c r="D40" s="6" t="s">
        <v>17</v>
      </c>
      <c r="E40" s="5" t="s">
        <v>18</v>
      </c>
      <c r="F40" s="6" t="s">
        <v>813</v>
      </c>
      <c r="G40" s="5" t="s">
        <v>50</v>
      </c>
      <c r="H40" s="6" t="s">
        <v>20</v>
      </c>
      <c r="I40" s="5" t="s">
        <v>21</v>
      </c>
      <c r="J40" s="4" t="s">
        <v>22</v>
      </c>
      <c r="K40" s="2" t="s">
        <v>23</v>
      </c>
      <c r="L40" s="6" t="s">
        <v>24</v>
      </c>
      <c r="M40" s="5" t="s">
        <v>25</v>
      </c>
      <c r="N40" s="3" t="s">
        <v>26</v>
      </c>
      <c r="O40" s="5">
        <v>2</v>
      </c>
      <c r="P40" s="3" t="s">
        <v>23</v>
      </c>
      <c r="Q40" s="5"/>
    </row>
    <row r="41" spans="1:17" ht="93">
      <c r="A41" s="5">
        <v>36</v>
      </c>
      <c r="B41" s="6" t="s">
        <v>16</v>
      </c>
      <c r="C41" s="5" t="str">
        <f>HYPERLINK("http://data.overheid.nl/data/dataset/kustlijnkaartenboek-2014-af-te-beelden-trendwaarden-schaal-50000","Kustlijnkaartenboek 2014: Af te beelden trendwaarden schaal (50000)")</f>
        <v>Kustlijnkaartenboek 2014: Af te beelden trendwaarden schaal (50000)</v>
      </c>
      <c r="D41" s="6" t="s">
        <v>17</v>
      </c>
      <c r="E41" s="5" t="s">
        <v>18</v>
      </c>
      <c r="F41" s="6" t="s">
        <v>813</v>
      </c>
      <c r="G41" s="5" t="s">
        <v>51</v>
      </c>
      <c r="H41" s="6" t="s">
        <v>20</v>
      </c>
      <c r="I41" s="5" t="s">
        <v>21</v>
      </c>
      <c r="J41" s="4" t="s">
        <v>22</v>
      </c>
      <c r="K41" s="2" t="s">
        <v>23</v>
      </c>
      <c r="L41" s="6" t="s">
        <v>24</v>
      </c>
      <c r="M41" s="5" t="s">
        <v>25</v>
      </c>
      <c r="N41" s="3" t="s">
        <v>26</v>
      </c>
      <c r="O41" s="5">
        <v>2</v>
      </c>
      <c r="P41" s="3" t="s">
        <v>23</v>
      </c>
      <c r="Q41" s="5"/>
    </row>
    <row r="42" spans="1:17" ht="93">
      <c r="A42" s="5">
        <v>37</v>
      </c>
      <c r="B42" s="6" t="s">
        <v>16</v>
      </c>
      <c r="C42" s="5" t="str">
        <f>HYPERLINK("http://data.overheid.nl/data/dataset/kustlijnkaartenboek-2014-af-te-beelden-trendwaarden-schaal-25000","Kustlijnkaartenboek 2014: Af te beelden trendwaarden schaal (25000)")</f>
        <v>Kustlijnkaartenboek 2014: Af te beelden trendwaarden schaal (25000)</v>
      </c>
      <c r="D42" s="6" t="s">
        <v>17</v>
      </c>
      <c r="E42" s="5" t="s">
        <v>18</v>
      </c>
      <c r="F42" s="6" t="s">
        <v>813</v>
      </c>
      <c r="G42" s="5" t="s">
        <v>51</v>
      </c>
      <c r="H42" s="6" t="s">
        <v>20</v>
      </c>
      <c r="I42" s="5" t="s">
        <v>21</v>
      </c>
      <c r="J42" s="4" t="s">
        <v>22</v>
      </c>
      <c r="K42" s="2" t="s">
        <v>23</v>
      </c>
      <c r="L42" s="6" t="s">
        <v>24</v>
      </c>
      <c r="M42" s="5" t="s">
        <v>25</v>
      </c>
      <c r="N42" s="3" t="s">
        <v>26</v>
      </c>
      <c r="O42" s="5">
        <v>2</v>
      </c>
      <c r="P42" s="3" t="s">
        <v>23</v>
      </c>
      <c r="Q42" s="5"/>
    </row>
    <row r="43" spans="1:17" ht="93">
      <c r="A43" s="5">
        <v>38</v>
      </c>
      <c r="B43" s="6" t="s">
        <v>16</v>
      </c>
      <c r="C43" s="5" t="str">
        <f>HYPERLINK("http://data.overheid.nl/data/dataset/kustlijnkaartenboek-2014-af-te-beelden-trendwaarden-schaal-100000","Kustlijnkaartenboek 2014: Af te beelden trendwaarden schaal (100000)")</f>
        <v>Kustlijnkaartenboek 2014: Af te beelden trendwaarden schaal (100000)</v>
      </c>
      <c r="D43" s="6" t="s">
        <v>17</v>
      </c>
      <c r="E43" s="5" t="s">
        <v>18</v>
      </c>
      <c r="F43" s="6" t="s">
        <v>813</v>
      </c>
      <c r="G43" s="5" t="s">
        <v>51</v>
      </c>
      <c r="H43" s="6" t="s">
        <v>20</v>
      </c>
      <c r="I43" s="5" t="s">
        <v>21</v>
      </c>
      <c r="J43" s="4" t="s">
        <v>22</v>
      </c>
      <c r="K43" s="2" t="s">
        <v>23</v>
      </c>
      <c r="L43" s="6" t="s">
        <v>24</v>
      </c>
      <c r="M43" s="5" t="s">
        <v>25</v>
      </c>
      <c r="N43" s="3" t="s">
        <v>26</v>
      </c>
      <c r="O43" s="5">
        <v>2</v>
      </c>
      <c r="P43" s="3" t="s">
        <v>23</v>
      </c>
      <c r="Q43" s="5"/>
    </row>
    <row r="44" spans="1:17" ht="108.5">
      <c r="A44" s="5">
        <v>39</v>
      </c>
      <c r="B44" s="6" t="s">
        <v>16</v>
      </c>
      <c r="C44" s="5" t="str">
        <f>HYPERLINK("http://data.overheid.nl/data/dataset/kustlijnkaart-2014-berekende-trendwaarden-schaal-50000","Kustlijnkaart 2014: Berekende trendwaarden schaal (50000)")</f>
        <v>Kustlijnkaart 2014: Berekende trendwaarden schaal (50000)</v>
      </c>
      <c r="D44" s="6" t="s">
        <v>17</v>
      </c>
      <c r="E44" s="5" t="s">
        <v>18</v>
      </c>
      <c r="F44" s="6" t="s">
        <v>813</v>
      </c>
      <c r="G44" s="5" t="s">
        <v>52</v>
      </c>
      <c r="H44" s="6" t="s">
        <v>20</v>
      </c>
      <c r="I44" s="5" t="s">
        <v>21</v>
      </c>
      <c r="J44" s="4" t="s">
        <v>22</v>
      </c>
      <c r="K44" s="2" t="s">
        <v>23</v>
      </c>
      <c r="L44" s="6" t="s">
        <v>24</v>
      </c>
      <c r="M44" s="5" t="s">
        <v>25</v>
      </c>
      <c r="N44" s="3" t="s">
        <v>26</v>
      </c>
      <c r="O44" s="5">
        <v>2</v>
      </c>
      <c r="P44" s="3" t="s">
        <v>23</v>
      </c>
      <c r="Q44" s="5"/>
    </row>
    <row r="45" spans="1:17" ht="108.5">
      <c r="A45" s="5">
        <v>40</v>
      </c>
      <c r="B45" s="6" t="s">
        <v>16</v>
      </c>
      <c r="C45" s="5" t="str">
        <f>HYPERLINK("http://data.overheid.nl/data/dataset/kustlijnkaart-2014-berekende-trendwaarden-schaal-25000","Kustlijnkaart 2014: Berekende trendwaarden schaal (25000)")</f>
        <v>Kustlijnkaart 2014: Berekende trendwaarden schaal (25000)</v>
      </c>
      <c r="D45" s="6" t="s">
        <v>17</v>
      </c>
      <c r="E45" s="5" t="s">
        <v>18</v>
      </c>
      <c r="F45" s="6" t="s">
        <v>813</v>
      </c>
      <c r="G45" s="5" t="s">
        <v>52</v>
      </c>
      <c r="H45" s="6" t="s">
        <v>20</v>
      </c>
      <c r="I45" s="5" t="s">
        <v>21</v>
      </c>
      <c r="J45" s="4" t="s">
        <v>22</v>
      </c>
      <c r="K45" s="2" t="s">
        <v>23</v>
      </c>
      <c r="L45" s="6" t="s">
        <v>24</v>
      </c>
      <c r="M45" s="5" t="s">
        <v>25</v>
      </c>
      <c r="N45" s="3" t="s">
        <v>26</v>
      </c>
      <c r="O45" s="5">
        <v>2</v>
      </c>
      <c r="P45" s="3" t="s">
        <v>23</v>
      </c>
      <c r="Q45" s="5"/>
    </row>
    <row r="46" spans="1:17" ht="108.5">
      <c r="A46" s="5">
        <v>41</v>
      </c>
      <c r="B46" s="6" t="s">
        <v>16</v>
      </c>
      <c r="C46" s="5" t="str">
        <f>HYPERLINK("http://data.overheid.nl/data/dataset/kustlijnkaart-2014-berekende-trendwaarden-schaal-100000","Kustlijnkaart 2014: Berekende trendwaarden schaal (100000)")</f>
        <v>Kustlijnkaart 2014: Berekende trendwaarden schaal (100000)</v>
      </c>
      <c r="D46" s="6" t="s">
        <v>17</v>
      </c>
      <c r="E46" s="5" t="s">
        <v>18</v>
      </c>
      <c r="F46" s="6" t="s">
        <v>813</v>
      </c>
      <c r="G46" s="5" t="s">
        <v>52</v>
      </c>
      <c r="H46" s="6" t="s">
        <v>20</v>
      </c>
      <c r="I46" s="5" t="s">
        <v>21</v>
      </c>
      <c r="J46" s="4" t="s">
        <v>22</v>
      </c>
      <c r="K46" s="2" t="s">
        <v>23</v>
      </c>
      <c r="L46" s="6" t="s">
        <v>24</v>
      </c>
      <c r="M46" s="5" t="s">
        <v>25</v>
      </c>
      <c r="N46" s="3" t="s">
        <v>26</v>
      </c>
      <c r="O46" s="5">
        <v>2</v>
      </c>
      <c r="P46" s="3" t="s">
        <v>23</v>
      </c>
      <c r="Q46" s="5"/>
    </row>
    <row r="47" spans="1:17" ht="31">
      <c r="A47" s="5">
        <v>42</v>
      </c>
      <c r="B47" s="6" t="s">
        <v>16</v>
      </c>
      <c r="C47" s="5" t="str">
        <f>HYPERLINK("http://data.overheid.nl/data/dataset/dieptepolygonen-nederlands-continentaal-plat-2014","Dieptepolygonen Nederlands Continentaal Plat 2014")</f>
        <v>Dieptepolygonen Nederlands Continentaal Plat 2014</v>
      </c>
      <c r="D47" s="6" t="s">
        <v>17</v>
      </c>
      <c r="E47" s="5" t="s">
        <v>18</v>
      </c>
      <c r="F47" s="6" t="s">
        <v>813</v>
      </c>
      <c r="G47" s="5" t="s">
        <v>53</v>
      </c>
      <c r="H47" s="6" t="s">
        <v>20</v>
      </c>
      <c r="I47" s="5" t="s">
        <v>21</v>
      </c>
      <c r="J47" s="4" t="s">
        <v>22</v>
      </c>
      <c r="K47" s="2" t="s">
        <v>23</v>
      </c>
      <c r="L47" s="6" t="s">
        <v>24</v>
      </c>
      <c r="M47" s="5" t="s">
        <v>25</v>
      </c>
      <c r="N47" s="3" t="s">
        <v>26</v>
      </c>
      <c r="O47" s="5">
        <v>2</v>
      </c>
      <c r="P47" s="3" t="s">
        <v>23</v>
      </c>
      <c r="Q47" s="5"/>
    </row>
    <row r="48" spans="1:17" ht="31">
      <c r="A48" s="5">
        <v>43</v>
      </c>
      <c r="B48" s="6" t="s">
        <v>16</v>
      </c>
      <c r="C48" s="5" t="str">
        <f>HYPERLINK("http://data.overheid.nl/data/dataset/dieptelijnen-in-meters-2014","Dieptelijnen in meters 2014")</f>
        <v>Dieptelijnen in meters 2014</v>
      </c>
      <c r="D48" s="6" t="s">
        <v>17</v>
      </c>
      <c r="E48" s="5" t="s">
        <v>18</v>
      </c>
      <c r="F48" s="6" t="s">
        <v>813</v>
      </c>
      <c r="G48" s="5" t="s">
        <v>54</v>
      </c>
      <c r="H48" s="6" t="s">
        <v>20</v>
      </c>
      <c r="I48" s="5" t="s">
        <v>21</v>
      </c>
      <c r="J48" s="4" t="s">
        <v>22</v>
      </c>
      <c r="K48" s="2" t="s">
        <v>23</v>
      </c>
      <c r="L48" s="6" t="s">
        <v>24</v>
      </c>
      <c r="M48" s="5" t="s">
        <v>25</v>
      </c>
      <c r="N48" s="3" t="s">
        <v>26</v>
      </c>
      <c r="O48" s="5">
        <v>4</v>
      </c>
      <c r="P48" s="3" t="s">
        <v>23</v>
      </c>
      <c r="Q48" s="5"/>
    </row>
    <row r="49" spans="1:17" ht="232.5">
      <c r="A49" s="5">
        <v>44</v>
      </c>
      <c r="B49" s="6" t="s">
        <v>16</v>
      </c>
      <c r="C49" s="5" t="str">
        <f>HYPERLINK("http://data.overheid.nl/data/dataset/blokgrenzen-volgens-de-mijnbouwwet","Blokgrenzen volgens de mijnbouwwet")</f>
        <v>Blokgrenzen volgens de mijnbouwwet</v>
      </c>
      <c r="D49" s="6" t="s">
        <v>17</v>
      </c>
      <c r="E49" s="5" t="s">
        <v>18</v>
      </c>
      <c r="F49" s="6" t="s">
        <v>813</v>
      </c>
      <c r="G49" s="5" t="s">
        <v>55</v>
      </c>
      <c r="H49" s="6" t="s">
        <v>20</v>
      </c>
      <c r="I49" s="5" t="s">
        <v>21</v>
      </c>
      <c r="J49" s="4" t="s">
        <v>22</v>
      </c>
      <c r="K49" s="2" t="s">
        <v>23</v>
      </c>
      <c r="L49" s="6" t="s">
        <v>24</v>
      </c>
      <c r="M49" s="5" t="s">
        <v>25</v>
      </c>
      <c r="N49" s="3" t="s">
        <v>26</v>
      </c>
      <c r="O49" s="5">
        <v>4</v>
      </c>
      <c r="P49" s="3" t="s">
        <v>23</v>
      </c>
      <c r="Q49" s="5"/>
    </row>
    <row r="50" spans="1:17" ht="46.5">
      <c r="A50" s="5">
        <v>45</v>
      </c>
      <c r="B50" s="6" t="s">
        <v>16</v>
      </c>
      <c r="C50" s="5" t="str">
        <f>HYPERLINK("http://data.overheid.nl/data/dataset/bathymetrie-versie-2014","Bathymetrie versie 2014")</f>
        <v>Bathymetrie versie 2014</v>
      </c>
      <c r="D50" s="6" t="s">
        <v>17</v>
      </c>
      <c r="E50" s="5" t="s">
        <v>18</v>
      </c>
      <c r="F50" s="6" t="s">
        <v>813</v>
      </c>
      <c r="G50" s="5" t="s">
        <v>56</v>
      </c>
      <c r="H50" s="6" t="s">
        <v>20</v>
      </c>
      <c r="I50" s="5" t="s">
        <v>21</v>
      </c>
      <c r="J50" s="4" t="s">
        <v>22</v>
      </c>
      <c r="K50" s="2" t="s">
        <v>23</v>
      </c>
      <c r="L50" s="6" t="s">
        <v>24</v>
      </c>
      <c r="M50" s="5" t="s">
        <v>25</v>
      </c>
      <c r="N50" s="3" t="s">
        <v>26</v>
      </c>
      <c r="O50" s="5">
        <v>2</v>
      </c>
      <c r="P50" s="3" t="s">
        <v>23</v>
      </c>
      <c r="Q50" s="5"/>
    </row>
    <row r="51" spans="1:17" ht="155">
      <c r="A51" s="5">
        <v>46</v>
      </c>
      <c r="B51" s="6" t="s">
        <v>16</v>
      </c>
      <c r="C51" s="5" t="str">
        <f>HYPERLINK("http://data.overheid.nl/data/dataset/zoute-ecotopen-westerschelde-2012","Zoute Ecotopen Westerschelde 2012")</f>
        <v>Zoute Ecotopen Westerschelde 2012</v>
      </c>
      <c r="D51" s="6" t="s">
        <v>17</v>
      </c>
      <c r="E51" s="5" t="s">
        <v>18</v>
      </c>
      <c r="F51" s="6" t="s">
        <v>813</v>
      </c>
      <c r="G51" s="5" t="s">
        <v>57</v>
      </c>
      <c r="H51" s="6" t="s">
        <v>20</v>
      </c>
      <c r="I51" s="5" t="s">
        <v>21</v>
      </c>
      <c r="J51" s="4" t="s">
        <v>22</v>
      </c>
      <c r="K51" s="2" t="s">
        <v>23</v>
      </c>
      <c r="L51" s="6" t="s">
        <v>24</v>
      </c>
      <c r="M51" s="5" t="s">
        <v>25</v>
      </c>
      <c r="N51" s="3" t="s">
        <v>26</v>
      </c>
      <c r="O51" s="5">
        <v>2</v>
      </c>
      <c r="P51" s="3" t="s">
        <v>23</v>
      </c>
      <c r="Q51" s="5"/>
    </row>
    <row r="52" spans="1:17" ht="155">
      <c r="A52" s="5">
        <v>47</v>
      </c>
      <c r="B52" s="6" t="s">
        <v>16</v>
      </c>
      <c r="C52" s="5" t="str">
        <f>HYPERLINK("http://data.overheid.nl/data/dataset/zoute-ecotopen-westerschelde-2011","Zoute Ecotopen Westerschelde 2011")</f>
        <v>Zoute Ecotopen Westerschelde 2011</v>
      </c>
      <c r="D52" s="6" t="s">
        <v>17</v>
      </c>
      <c r="E52" s="5" t="s">
        <v>18</v>
      </c>
      <c r="F52" s="6" t="s">
        <v>813</v>
      </c>
      <c r="G52" s="5" t="s">
        <v>58</v>
      </c>
      <c r="H52" s="6" t="s">
        <v>20</v>
      </c>
      <c r="I52" s="5" t="s">
        <v>21</v>
      </c>
      <c r="J52" s="4" t="s">
        <v>22</v>
      </c>
      <c r="K52" s="2" t="s">
        <v>23</v>
      </c>
      <c r="L52" s="6" t="s">
        <v>24</v>
      </c>
      <c r="M52" s="5" t="s">
        <v>25</v>
      </c>
      <c r="N52" s="3" t="s">
        <v>26</v>
      </c>
      <c r="O52" s="5">
        <v>2</v>
      </c>
      <c r="P52" s="3" t="s">
        <v>23</v>
      </c>
      <c r="Q52" s="5"/>
    </row>
    <row r="53" spans="1:17" ht="155">
      <c r="A53" s="5">
        <v>48</v>
      </c>
      <c r="B53" s="6" t="s">
        <v>16</v>
      </c>
      <c r="C53" s="5" t="str">
        <f>HYPERLINK("http://data.overheid.nl/data/dataset/zoute-ecotopen-westerschelde-2010","Zoute Ecotopen Westerschelde 2010")</f>
        <v>Zoute Ecotopen Westerschelde 2010</v>
      </c>
      <c r="D53" s="6" t="s">
        <v>17</v>
      </c>
      <c r="E53" s="5" t="s">
        <v>18</v>
      </c>
      <c r="F53" s="6" t="s">
        <v>813</v>
      </c>
      <c r="G53" s="5" t="s">
        <v>59</v>
      </c>
      <c r="H53" s="6" t="s">
        <v>20</v>
      </c>
      <c r="I53" s="5" t="s">
        <v>21</v>
      </c>
      <c r="J53" s="4" t="s">
        <v>22</v>
      </c>
      <c r="K53" s="2" t="s">
        <v>23</v>
      </c>
      <c r="L53" s="6" t="s">
        <v>24</v>
      </c>
      <c r="M53" s="5" t="s">
        <v>25</v>
      </c>
      <c r="N53" s="3" t="s">
        <v>26</v>
      </c>
      <c r="O53" s="5">
        <v>2</v>
      </c>
      <c r="P53" s="3" t="s">
        <v>23</v>
      </c>
      <c r="Q53" s="5"/>
    </row>
    <row r="54" spans="1:17" ht="155">
      <c r="A54" s="5">
        <v>49</v>
      </c>
      <c r="B54" s="6" t="s">
        <v>16</v>
      </c>
      <c r="C54" s="5" t="str">
        <f>HYPERLINK("http://data.overheid.nl/data/dataset/zoute-ecotopen-westerschelde-2008","Zoute Ecotopen Westerschelde 2008")</f>
        <v>Zoute Ecotopen Westerschelde 2008</v>
      </c>
      <c r="D54" s="6" t="s">
        <v>17</v>
      </c>
      <c r="E54" s="5" t="s">
        <v>18</v>
      </c>
      <c r="F54" s="6" t="s">
        <v>813</v>
      </c>
      <c r="G54" s="5" t="s">
        <v>60</v>
      </c>
      <c r="H54" s="6" t="s">
        <v>20</v>
      </c>
      <c r="I54" s="5" t="s">
        <v>21</v>
      </c>
      <c r="J54" s="4" t="s">
        <v>22</v>
      </c>
      <c r="K54" s="2" t="s">
        <v>23</v>
      </c>
      <c r="L54" s="6" t="s">
        <v>24</v>
      </c>
      <c r="M54" s="5" t="s">
        <v>25</v>
      </c>
      <c r="N54" s="3" t="s">
        <v>26</v>
      </c>
      <c r="O54" s="5">
        <v>2</v>
      </c>
      <c r="P54" s="3" t="s">
        <v>23</v>
      </c>
      <c r="Q54" s="5"/>
    </row>
    <row r="55" spans="1:17" ht="124">
      <c r="A55" s="5">
        <v>50</v>
      </c>
      <c r="B55" s="6" t="s">
        <v>16</v>
      </c>
      <c r="C55" s="5" t="str">
        <f>HYPERLINK("http://data.overheid.nl/data/dataset/zoute-ecotopen-westerschelde-2004","Zoute Ecotopen Westerschelde 2004")</f>
        <v>Zoute Ecotopen Westerschelde 2004</v>
      </c>
      <c r="D55" s="6" t="s">
        <v>17</v>
      </c>
      <c r="E55" s="5" t="s">
        <v>18</v>
      </c>
      <c r="F55" s="6" t="s">
        <v>813</v>
      </c>
      <c r="G55" s="5" t="s">
        <v>61</v>
      </c>
      <c r="H55" s="6" t="s">
        <v>20</v>
      </c>
      <c r="I55" s="5" t="s">
        <v>21</v>
      </c>
      <c r="J55" s="4" t="s">
        <v>22</v>
      </c>
      <c r="K55" s="2" t="s">
        <v>23</v>
      </c>
      <c r="L55" s="6" t="s">
        <v>24</v>
      </c>
      <c r="M55" s="5" t="s">
        <v>25</v>
      </c>
      <c r="N55" s="3" t="s">
        <v>26</v>
      </c>
      <c r="O55" s="5">
        <v>2</v>
      </c>
      <c r="P55" s="3" t="s">
        <v>23</v>
      </c>
      <c r="Q55" s="5"/>
    </row>
    <row r="56" spans="1:17" ht="124">
      <c r="A56" s="5">
        <v>51</v>
      </c>
      <c r="B56" s="6" t="s">
        <v>16</v>
      </c>
      <c r="C56" s="5" t="str">
        <f>HYPERLINK("http://data.overheid.nl/data/dataset/zoute-ecotopen-westerschelde-2001","Zoute Ecotopen Westerschelde 2001")</f>
        <v>Zoute Ecotopen Westerschelde 2001</v>
      </c>
      <c r="D56" s="6" t="s">
        <v>17</v>
      </c>
      <c r="E56" s="5" t="s">
        <v>18</v>
      </c>
      <c r="F56" s="6" t="s">
        <v>813</v>
      </c>
      <c r="G56" s="5" t="s">
        <v>62</v>
      </c>
      <c r="H56" s="6" t="s">
        <v>20</v>
      </c>
      <c r="I56" s="5" t="s">
        <v>21</v>
      </c>
      <c r="J56" s="4" t="s">
        <v>22</v>
      </c>
      <c r="K56" s="2" t="s">
        <v>23</v>
      </c>
      <c r="L56" s="6" t="s">
        <v>24</v>
      </c>
      <c r="M56" s="5" t="s">
        <v>25</v>
      </c>
      <c r="N56" s="3" t="s">
        <v>26</v>
      </c>
      <c r="O56" s="5">
        <v>2</v>
      </c>
      <c r="P56" s="3" t="s">
        <v>23</v>
      </c>
      <c r="Q56" s="5"/>
    </row>
    <row r="57" spans="1:17" ht="124">
      <c r="A57" s="5">
        <v>52</v>
      </c>
      <c r="B57" s="6" t="s">
        <v>16</v>
      </c>
      <c r="C57" s="5" t="str">
        <f>HYPERLINK("http://data.overheid.nl/data/dataset/zoute-ecotopen-westerschelde-1996","Zoute Ecotopen Westerschelde 1996")</f>
        <v>Zoute Ecotopen Westerschelde 1996</v>
      </c>
      <c r="D57" s="6" t="s">
        <v>17</v>
      </c>
      <c r="E57" s="5" t="s">
        <v>18</v>
      </c>
      <c r="F57" s="6" t="s">
        <v>813</v>
      </c>
      <c r="G57" s="5" t="s">
        <v>63</v>
      </c>
      <c r="H57" s="6" t="s">
        <v>20</v>
      </c>
      <c r="I57" s="5" t="s">
        <v>21</v>
      </c>
      <c r="J57" s="4" t="s">
        <v>22</v>
      </c>
      <c r="K57" s="2" t="s">
        <v>23</v>
      </c>
      <c r="L57" s="6" t="s">
        <v>24</v>
      </c>
      <c r="M57" s="5" t="s">
        <v>25</v>
      </c>
      <c r="N57" s="3" t="s">
        <v>26</v>
      </c>
      <c r="O57" s="5">
        <v>2</v>
      </c>
      <c r="P57" s="3" t="s">
        <v>23</v>
      </c>
      <c r="Q57" s="5"/>
    </row>
    <row r="58" spans="1:17" ht="46.5">
      <c r="A58" s="5">
        <v>53</v>
      </c>
      <c r="B58" s="6" t="s">
        <v>16</v>
      </c>
      <c r="C58" s="5" t="str">
        <f>HYPERLINK("http://data.overheid.nl/data/dataset/zoekgebieden-zand-noordzee-2006-2020","Zoekgebieden zand Noordzee 2006-2020")</f>
        <v>Zoekgebieden zand Noordzee 2006-2020</v>
      </c>
      <c r="D58" s="6" t="s">
        <v>17</v>
      </c>
      <c r="E58" s="5" t="s">
        <v>18</v>
      </c>
      <c r="F58" s="6" t="s">
        <v>813</v>
      </c>
      <c r="G58" s="5" t="s">
        <v>64</v>
      </c>
      <c r="H58" s="6" t="s">
        <v>28</v>
      </c>
      <c r="I58" s="5" t="s">
        <v>21</v>
      </c>
      <c r="J58" s="4" t="s">
        <v>22</v>
      </c>
      <c r="K58" s="2" t="s">
        <v>23</v>
      </c>
      <c r="L58" s="6" t="s">
        <v>24</v>
      </c>
      <c r="M58" s="5" t="s">
        <v>25</v>
      </c>
      <c r="N58" s="3" t="s">
        <v>26</v>
      </c>
      <c r="O58" s="5">
        <v>8</v>
      </c>
      <c r="P58" s="3" t="s">
        <v>23</v>
      </c>
      <c r="Q58" s="5"/>
    </row>
    <row r="59" spans="1:17" ht="31">
      <c r="A59" s="5">
        <v>54</v>
      </c>
      <c r="B59" s="6" t="s">
        <v>16</v>
      </c>
      <c r="C59" s="5" t="str">
        <f>HYPERLINK("http://data.overheid.nl/data/dataset/verkeersintensiteiten-inweva-werkdag-2013","Verkeersintensiteiten INWEVA werkdag 2013")</f>
        <v>Verkeersintensiteiten INWEVA werkdag 2013</v>
      </c>
      <c r="D59" s="6" t="s">
        <v>17</v>
      </c>
      <c r="E59" s="5" t="s">
        <v>18</v>
      </c>
      <c r="F59" s="6" t="s">
        <v>813</v>
      </c>
      <c r="G59" s="5" t="s">
        <v>65</v>
      </c>
      <c r="H59" s="6" t="s">
        <v>28</v>
      </c>
      <c r="I59" s="5" t="s">
        <v>21</v>
      </c>
      <c r="J59" s="4" t="s">
        <v>22</v>
      </c>
      <c r="K59" s="2" t="s">
        <v>23</v>
      </c>
      <c r="L59" s="6" t="s">
        <v>24</v>
      </c>
      <c r="M59" s="5" t="s">
        <v>25</v>
      </c>
      <c r="N59" s="3" t="s">
        <v>26</v>
      </c>
      <c r="O59" s="5">
        <v>4</v>
      </c>
      <c r="P59" s="3" t="s">
        <v>23</v>
      </c>
      <c r="Q59" s="5"/>
    </row>
    <row r="60" spans="1:17" ht="31">
      <c r="A60" s="5">
        <v>55</v>
      </c>
      <c r="B60" s="6" t="s">
        <v>16</v>
      </c>
      <c r="C60" s="5" t="str">
        <f>HYPERLINK("http://data.overheid.nl/data/dataset/verkeersintensiteiten-inweva-weekdag-2013","Verkeersintensiteiten INWEVA weekdag 2013")</f>
        <v>Verkeersintensiteiten INWEVA weekdag 2013</v>
      </c>
      <c r="D60" s="6" t="s">
        <v>17</v>
      </c>
      <c r="E60" s="5" t="s">
        <v>18</v>
      </c>
      <c r="F60" s="6" t="s">
        <v>813</v>
      </c>
      <c r="G60" s="5" t="s">
        <v>66</v>
      </c>
      <c r="H60" s="6" t="s">
        <v>20</v>
      </c>
      <c r="I60" s="5" t="s">
        <v>21</v>
      </c>
      <c r="J60" s="4" t="s">
        <v>22</v>
      </c>
      <c r="K60" s="2" t="s">
        <v>23</v>
      </c>
      <c r="L60" s="6" t="s">
        <v>24</v>
      </c>
      <c r="M60" s="5" t="s">
        <v>25</v>
      </c>
      <c r="N60" s="3" t="s">
        <v>26</v>
      </c>
      <c r="O60" s="5">
        <v>4</v>
      </c>
      <c r="P60" s="3" t="s">
        <v>23</v>
      </c>
      <c r="Q60" s="5"/>
    </row>
    <row r="61" spans="1:17" ht="31">
      <c r="A61" s="5">
        <v>56</v>
      </c>
      <c r="B61" s="6" t="s">
        <v>16</v>
      </c>
      <c r="C61" s="5" t="str">
        <f>HYPERLINK("http://data.overheid.nl/data/dataset/verkeersintensiteiten-inweva-spits-2013","Verkeersintensiteiten INWEVA spits 2013")</f>
        <v>Verkeersintensiteiten INWEVA spits 2013</v>
      </c>
      <c r="D61" s="6" t="s">
        <v>17</v>
      </c>
      <c r="E61" s="5" t="s">
        <v>18</v>
      </c>
      <c r="F61" s="6" t="s">
        <v>813</v>
      </c>
      <c r="G61" s="5" t="s">
        <v>67</v>
      </c>
      <c r="H61" s="6" t="s">
        <v>28</v>
      </c>
      <c r="I61" s="5" t="s">
        <v>21</v>
      </c>
      <c r="J61" s="4" t="s">
        <v>22</v>
      </c>
      <c r="K61" s="2" t="s">
        <v>23</v>
      </c>
      <c r="L61" s="6" t="s">
        <v>24</v>
      </c>
      <c r="M61" s="5" t="s">
        <v>25</v>
      </c>
      <c r="N61" s="3" t="s">
        <v>26</v>
      </c>
      <c r="O61" s="5">
        <v>8</v>
      </c>
      <c r="P61" s="3" t="s">
        <v>23</v>
      </c>
      <c r="Q61" s="5"/>
    </row>
    <row r="62" spans="1:17" ht="93">
      <c r="A62" s="5">
        <v>57</v>
      </c>
      <c r="B62" s="6" t="s">
        <v>16</v>
      </c>
      <c r="C62" s="5" t="str">
        <f>HYPERLINK("http://data.overheid.nl/data/dataset/structuur-natuur-vriendelijke-oevers-maas-2012-vlak","Structuur natuur vriendelijke oevers Maas 2012 vlak")</f>
        <v>Structuur natuur vriendelijke oevers Maas 2012 vlak</v>
      </c>
      <c r="D62" s="6" t="s">
        <v>17</v>
      </c>
      <c r="E62" s="5" t="s">
        <v>18</v>
      </c>
      <c r="F62" s="6" t="s">
        <v>813</v>
      </c>
      <c r="G62" s="5" t="s">
        <v>68</v>
      </c>
      <c r="H62" s="6" t="s">
        <v>20</v>
      </c>
      <c r="I62" s="5" t="s">
        <v>21</v>
      </c>
      <c r="J62" s="4" t="s">
        <v>22</v>
      </c>
      <c r="K62" s="2" t="s">
        <v>23</v>
      </c>
      <c r="L62" s="6" t="s">
        <v>24</v>
      </c>
      <c r="M62" s="5" t="s">
        <v>25</v>
      </c>
      <c r="N62" s="3" t="s">
        <v>26</v>
      </c>
      <c r="O62" s="5">
        <v>2</v>
      </c>
      <c r="P62" s="3" t="s">
        <v>23</v>
      </c>
      <c r="Q62" s="5"/>
    </row>
    <row r="63" spans="1:17" ht="46.5">
      <c r="A63" s="5">
        <v>58</v>
      </c>
      <c r="B63" s="6" t="s">
        <v>16</v>
      </c>
      <c r="C63" s="5" t="str">
        <f>HYPERLINK("http://data.overheid.nl/data/dataset/rijkswaterstaat-waterkwantiteit-dataservice","Rijkswaterstaat waterkwantiteit dataservice")</f>
        <v>Rijkswaterstaat waterkwantiteit dataservice</v>
      </c>
      <c r="D63" s="6" t="s">
        <v>17</v>
      </c>
      <c r="E63" s="5" t="s">
        <v>18</v>
      </c>
      <c r="F63" s="6" t="s">
        <v>813</v>
      </c>
      <c r="G63" s="5" t="s">
        <v>69</v>
      </c>
      <c r="H63" s="6" t="s">
        <v>20</v>
      </c>
      <c r="I63" s="5" t="s">
        <v>21</v>
      </c>
      <c r="J63" s="4" t="s">
        <v>22</v>
      </c>
      <c r="K63" s="2" t="s">
        <v>23</v>
      </c>
      <c r="L63" s="6" t="s">
        <v>24</v>
      </c>
      <c r="M63" s="5" t="s">
        <v>25</v>
      </c>
      <c r="N63" s="3" t="s">
        <v>26</v>
      </c>
      <c r="O63" s="5">
        <v>2</v>
      </c>
      <c r="P63" s="3" t="s">
        <v>23</v>
      </c>
      <c r="Q63" s="5"/>
    </row>
    <row r="64" spans="1:17" ht="124">
      <c r="A64" s="5">
        <v>59</v>
      </c>
      <c r="B64" s="6" t="s">
        <v>16</v>
      </c>
      <c r="C64" s="5" t="str">
        <f>HYPERLINK("http://data.overheid.nl/data/dataset/nationaal-wegen-bestand-wegen-wegvakken-2013","Nationaal Wegen Bestand Wegen wegvakken 2013")</f>
        <v>Nationaal Wegen Bestand Wegen wegvakken 2013</v>
      </c>
      <c r="D64" s="6" t="s">
        <v>17</v>
      </c>
      <c r="E64" s="5" t="s">
        <v>18</v>
      </c>
      <c r="F64" s="6" t="s">
        <v>813</v>
      </c>
      <c r="G64" s="5" t="s">
        <v>19</v>
      </c>
      <c r="H64" s="6" t="s">
        <v>20</v>
      </c>
      <c r="I64" s="5" t="s">
        <v>21</v>
      </c>
      <c r="J64" s="4" t="s">
        <v>22</v>
      </c>
      <c r="K64" s="2" t="s">
        <v>23</v>
      </c>
      <c r="L64" s="6" t="s">
        <v>24</v>
      </c>
      <c r="M64" s="5" t="s">
        <v>25</v>
      </c>
      <c r="N64" s="3" t="s">
        <v>26</v>
      </c>
      <c r="O64" s="5">
        <v>2</v>
      </c>
      <c r="P64" s="3" t="s">
        <v>23</v>
      </c>
      <c r="Q64" s="5"/>
    </row>
    <row r="65" spans="1:17" ht="124">
      <c r="A65" s="5">
        <v>60</v>
      </c>
      <c r="B65" s="6" t="s">
        <v>16</v>
      </c>
      <c r="C65" s="5" t="str">
        <f>HYPERLINK("http://data.overheid.nl/data/dataset/nationaal-wegen-bestand-wegen-hectopunten-2013","Nationaal Wegen Bestand Wegen hectopunten 2013")</f>
        <v>Nationaal Wegen Bestand Wegen hectopunten 2013</v>
      </c>
      <c r="D65" s="6" t="s">
        <v>17</v>
      </c>
      <c r="E65" s="5" t="s">
        <v>18</v>
      </c>
      <c r="F65" s="6" t="s">
        <v>813</v>
      </c>
      <c r="G65" s="5" t="s">
        <v>27</v>
      </c>
      <c r="H65" s="6" t="s">
        <v>20</v>
      </c>
      <c r="I65" s="5" t="s">
        <v>21</v>
      </c>
      <c r="J65" s="4" t="s">
        <v>22</v>
      </c>
      <c r="K65" s="2" t="s">
        <v>23</v>
      </c>
      <c r="L65" s="6" t="s">
        <v>24</v>
      </c>
      <c r="M65" s="5" t="s">
        <v>25</v>
      </c>
      <c r="N65" s="3" t="s">
        <v>26</v>
      </c>
      <c r="O65" s="5">
        <v>2</v>
      </c>
      <c r="P65" s="3" t="s">
        <v>23</v>
      </c>
      <c r="Q65" s="5"/>
    </row>
    <row r="66" spans="1:17" ht="93">
      <c r="A66" s="5">
        <v>61</v>
      </c>
      <c r="B66" s="6" t="s">
        <v>16</v>
      </c>
      <c r="C66" s="5" t="str">
        <f>HYPERLINK("http://data.overheid.nl/data/dataset/kustlijnkaartenboek-2013-af-te-beelden-trendwaarden-schaal-50000","Kustlijnkaartenboek 2013: Af te beelden trendwaarden schaal (50000)")</f>
        <v>Kustlijnkaartenboek 2013: Af te beelden trendwaarden schaal (50000)</v>
      </c>
      <c r="D66" s="6" t="s">
        <v>17</v>
      </c>
      <c r="E66" s="5" t="s">
        <v>18</v>
      </c>
      <c r="F66" s="6" t="s">
        <v>813</v>
      </c>
      <c r="G66" s="5" t="s">
        <v>51</v>
      </c>
      <c r="H66" s="6" t="s">
        <v>20</v>
      </c>
      <c r="I66" s="5" t="s">
        <v>21</v>
      </c>
      <c r="J66" s="4" t="s">
        <v>22</v>
      </c>
      <c r="K66" s="2" t="s">
        <v>23</v>
      </c>
      <c r="L66" s="6" t="s">
        <v>24</v>
      </c>
      <c r="M66" s="5" t="s">
        <v>25</v>
      </c>
      <c r="N66" s="3" t="s">
        <v>26</v>
      </c>
      <c r="O66" s="5">
        <v>2</v>
      </c>
      <c r="P66" s="3" t="s">
        <v>23</v>
      </c>
      <c r="Q66" s="5"/>
    </row>
    <row r="67" spans="1:17" ht="93">
      <c r="A67" s="5">
        <v>62</v>
      </c>
      <c r="B67" s="6" t="s">
        <v>16</v>
      </c>
      <c r="C67" s="5" t="str">
        <f>HYPERLINK("http://data.overheid.nl/data/dataset/kustlijnkaartenboek-2013-af-te-beelden-trendwaarden-schaal-25000","Kustlijnkaartenboek 2013: Af te beelden trendwaarden schaal (25000)")</f>
        <v>Kustlijnkaartenboek 2013: Af te beelden trendwaarden schaal (25000)</v>
      </c>
      <c r="D67" s="6" t="s">
        <v>17</v>
      </c>
      <c r="E67" s="5" t="s">
        <v>18</v>
      </c>
      <c r="F67" s="6" t="s">
        <v>813</v>
      </c>
      <c r="G67" s="5" t="s">
        <v>51</v>
      </c>
      <c r="H67" s="6" t="s">
        <v>20</v>
      </c>
      <c r="I67" s="5" t="s">
        <v>21</v>
      </c>
      <c r="J67" s="4" t="s">
        <v>22</v>
      </c>
      <c r="K67" s="2" t="s">
        <v>23</v>
      </c>
      <c r="L67" s="6" t="s">
        <v>24</v>
      </c>
      <c r="M67" s="5" t="s">
        <v>25</v>
      </c>
      <c r="N67" s="3" t="s">
        <v>26</v>
      </c>
      <c r="O67" s="5">
        <v>2</v>
      </c>
      <c r="P67" s="3" t="s">
        <v>23</v>
      </c>
      <c r="Q67" s="5"/>
    </row>
    <row r="68" spans="1:17" ht="93">
      <c r="A68" s="5">
        <v>63</v>
      </c>
      <c r="B68" s="6" t="s">
        <v>16</v>
      </c>
      <c r="C68" s="5" t="str">
        <f>HYPERLINK("http://data.overheid.nl/data/dataset/kustlijnkaartenboek-2013-af-te-beelden-trendwaarden-schaal-100000","Kustlijnkaartenboek 2013: Af te beelden trendwaarden schaal (100000)")</f>
        <v>Kustlijnkaartenboek 2013: Af te beelden trendwaarden schaal (100000)</v>
      </c>
      <c r="D68" s="6" t="s">
        <v>17</v>
      </c>
      <c r="E68" s="5" t="s">
        <v>18</v>
      </c>
      <c r="F68" s="6" t="s">
        <v>813</v>
      </c>
      <c r="G68" s="5" t="s">
        <v>51</v>
      </c>
      <c r="H68" s="6" t="s">
        <v>20</v>
      </c>
      <c r="I68" s="5" t="s">
        <v>21</v>
      </c>
      <c r="J68" s="4" t="s">
        <v>22</v>
      </c>
      <c r="K68" s="2" t="s">
        <v>23</v>
      </c>
      <c r="L68" s="6" t="s">
        <v>24</v>
      </c>
      <c r="M68" s="5" t="s">
        <v>25</v>
      </c>
      <c r="N68" s="3" t="s">
        <v>26</v>
      </c>
      <c r="O68" s="5">
        <v>2</v>
      </c>
      <c r="P68" s="3" t="s">
        <v>23</v>
      </c>
      <c r="Q68" s="5"/>
    </row>
    <row r="69" spans="1:17" ht="108.5">
      <c r="A69" s="5">
        <v>64</v>
      </c>
      <c r="B69" s="6" t="s">
        <v>16</v>
      </c>
      <c r="C69" s="5" t="str">
        <f>HYPERLINK("http://data.overheid.nl/data/dataset/kustlijnkaart-2013-berekende-trendwaarden-schaal-50000","Kustlijnkaart 2013: Berekende trendwaarden schaal (50000)")</f>
        <v>Kustlijnkaart 2013: Berekende trendwaarden schaal (50000)</v>
      </c>
      <c r="D69" s="6" t="s">
        <v>17</v>
      </c>
      <c r="E69" s="5" t="s">
        <v>18</v>
      </c>
      <c r="F69" s="6" t="s">
        <v>813</v>
      </c>
      <c r="G69" s="5" t="s">
        <v>70</v>
      </c>
      <c r="H69" s="6" t="s">
        <v>20</v>
      </c>
      <c r="I69" s="5" t="s">
        <v>21</v>
      </c>
      <c r="J69" s="4" t="s">
        <v>22</v>
      </c>
      <c r="K69" s="2" t="s">
        <v>23</v>
      </c>
      <c r="L69" s="6" t="s">
        <v>24</v>
      </c>
      <c r="M69" s="5" t="s">
        <v>25</v>
      </c>
      <c r="N69" s="3" t="s">
        <v>26</v>
      </c>
      <c r="O69" s="5">
        <v>2</v>
      </c>
      <c r="P69" s="3" t="s">
        <v>23</v>
      </c>
      <c r="Q69" s="5"/>
    </row>
    <row r="70" spans="1:17" ht="108.5">
      <c r="A70" s="5">
        <v>65</v>
      </c>
      <c r="B70" s="6" t="s">
        <v>16</v>
      </c>
      <c r="C70" s="5" t="str">
        <f>HYPERLINK("http://data.overheid.nl/data/dataset/kustlijnkaart-2013-berekende-trendwaarden-schaal-25000","Kustlijnkaart 2013: Berekende trendwaarden schaal (25000)")</f>
        <v>Kustlijnkaart 2013: Berekende trendwaarden schaal (25000)</v>
      </c>
      <c r="D70" s="6" t="s">
        <v>17</v>
      </c>
      <c r="E70" s="5" t="s">
        <v>18</v>
      </c>
      <c r="F70" s="6" t="s">
        <v>813</v>
      </c>
      <c r="G70" s="5" t="s">
        <v>70</v>
      </c>
      <c r="H70" s="6" t="s">
        <v>20</v>
      </c>
      <c r="I70" s="5" t="s">
        <v>21</v>
      </c>
      <c r="J70" s="4" t="s">
        <v>22</v>
      </c>
      <c r="K70" s="2" t="s">
        <v>23</v>
      </c>
      <c r="L70" s="6" t="s">
        <v>24</v>
      </c>
      <c r="M70" s="5" t="s">
        <v>25</v>
      </c>
      <c r="N70" s="3" t="s">
        <v>26</v>
      </c>
      <c r="O70" s="5">
        <v>2</v>
      </c>
      <c r="P70" s="3" t="s">
        <v>23</v>
      </c>
      <c r="Q70" s="5"/>
    </row>
    <row r="71" spans="1:17" ht="108.5">
      <c r="A71" s="5">
        <v>66</v>
      </c>
      <c r="B71" s="6" t="s">
        <v>16</v>
      </c>
      <c r="C71" s="5" t="str">
        <f>HYPERLINK("http://data.overheid.nl/data/dataset/kustlijnkaart-2013-berekende-trendwaarden-schaal-100000","Kustlijnkaart 2013: Berekende trendwaarden schaal (100000)")</f>
        <v>Kustlijnkaart 2013: Berekende trendwaarden schaal (100000)</v>
      </c>
      <c r="D71" s="6" t="s">
        <v>17</v>
      </c>
      <c r="E71" s="5" t="s">
        <v>18</v>
      </c>
      <c r="F71" s="6" t="s">
        <v>813</v>
      </c>
      <c r="G71" s="5" t="s">
        <v>70</v>
      </c>
      <c r="H71" s="6" t="s">
        <v>20</v>
      </c>
      <c r="I71" s="5" t="s">
        <v>21</v>
      </c>
      <c r="J71" s="4" t="s">
        <v>22</v>
      </c>
      <c r="K71" s="2" t="s">
        <v>23</v>
      </c>
      <c r="L71" s="6" t="s">
        <v>24</v>
      </c>
      <c r="M71" s="5" t="s">
        <v>25</v>
      </c>
      <c r="N71" s="3" t="s">
        <v>26</v>
      </c>
      <c r="O71" s="5">
        <v>2</v>
      </c>
      <c r="P71" s="3" t="s">
        <v>23</v>
      </c>
      <c r="Q71" s="5"/>
    </row>
    <row r="72" spans="1:17" ht="31">
      <c r="A72" s="5">
        <v>67</v>
      </c>
      <c r="B72" s="6" t="s">
        <v>16</v>
      </c>
      <c r="C72" s="5" t="str">
        <f>HYPERLINK("http://data.overheid.nl/data/dataset/dieptepolygonen-noordzee-bonn-gebied","Dieptepolygonen Noordzee (BONN gebied)")</f>
        <v>Dieptepolygonen Noordzee (BONN gebied)</v>
      </c>
      <c r="D72" s="6" t="s">
        <v>17</v>
      </c>
      <c r="E72" s="5" t="s">
        <v>18</v>
      </c>
      <c r="F72" s="6" t="s">
        <v>813</v>
      </c>
      <c r="G72" s="5" t="s">
        <v>71</v>
      </c>
      <c r="H72" s="6" t="s">
        <v>20</v>
      </c>
      <c r="I72" s="5" t="s">
        <v>21</v>
      </c>
      <c r="J72" s="4" t="s">
        <v>22</v>
      </c>
      <c r="K72" s="2" t="s">
        <v>23</v>
      </c>
      <c r="L72" s="6" t="s">
        <v>24</v>
      </c>
      <c r="M72" s="5" t="s">
        <v>25</v>
      </c>
      <c r="N72" s="3" t="s">
        <v>26</v>
      </c>
      <c r="O72" s="5">
        <v>2</v>
      </c>
      <c r="P72" s="3" t="s">
        <v>23</v>
      </c>
      <c r="Q72" s="5"/>
    </row>
    <row r="73" spans="1:17" ht="31">
      <c r="A73" s="5">
        <v>68</v>
      </c>
      <c r="B73" s="6" t="s">
        <v>16</v>
      </c>
      <c r="C73" s="5" t="str">
        <f>HYPERLINK("http://data.overheid.nl/data/dataset/dieptepolygonen-nederlands-continentaal-plat-2013","Dieptepolygonen Nederlands Continentaal Plat 2013")</f>
        <v>Dieptepolygonen Nederlands Continentaal Plat 2013</v>
      </c>
      <c r="D73" s="6" t="s">
        <v>17</v>
      </c>
      <c r="E73" s="5" t="s">
        <v>18</v>
      </c>
      <c r="F73" s="6" t="s">
        <v>813</v>
      </c>
      <c r="G73" s="5" t="s">
        <v>72</v>
      </c>
      <c r="H73" s="6" t="s">
        <v>20</v>
      </c>
      <c r="I73" s="5" t="s">
        <v>21</v>
      </c>
      <c r="J73" s="4" t="s">
        <v>22</v>
      </c>
      <c r="K73" s="2" t="s">
        <v>23</v>
      </c>
      <c r="L73" s="6" t="s">
        <v>24</v>
      </c>
      <c r="M73" s="5" t="s">
        <v>25</v>
      </c>
      <c r="N73" s="3" t="s">
        <v>26</v>
      </c>
      <c r="O73" s="5">
        <v>2</v>
      </c>
      <c r="P73" s="3" t="s">
        <v>23</v>
      </c>
      <c r="Q73" s="5"/>
    </row>
    <row r="74" spans="1:17" ht="31">
      <c r="A74" s="5">
        <v>69</v>
      </c>
      <c r="B74" s="6" t="s">
        <v>16</v>
      </c>
      <c r="C74" s="5" t="str">
        <f>HYPERLINK("http://data.overheid.nl/data/dataset/dieptelijnen-in-meters-2013","Dieptelijnen in meters 2013")</f>
        <v>Dieptelijnen in meters 2013</v>
      </c>
      <c r="D74" s="6" t="s">
        <v>17</v>
      </c>
      <c r="E74" s="5" t="s">
        <v>18</v>
      </c>
      <c r="F74" s="6" t="s">
        <v>813</v>
      </c>
      <c r="G74" s="5" t="s">
        <v>73</v>
      </c>
      <c r="H74" s="6" t="s">
        <v>20</v>
      </c>
      <c r="I74" s="5" t="s">
        <v>21</v>
      </c>
      <c r="J74" s="4" t="s">
        <v>22</v>
      </c>
      <c r="K74" s="2" t="s">
        <v>23</v>
      </c>
      <c r="L74" s="6" t="s">
        <v>24</v>
      </c>
      <c r="M74" s="5" t="s">
        <v>25</v>
      </c>
      <c r="N74" s="3" t="s">
        <v>26</v>
      </c>
      <c r="O74" s="5">
        <v>4</v>
      </c>
      <c r="P74" s="3" t="s">
        <v>23</v>
      </c>
      <c r="Q74" s="5"/>
    </row>
    <row r="75" spans="1:17" ht="31">
      <c r="A75" s="5">
        <v>70</v>
      </c>
      <c r="B75" s="6" t="s">
        <v>16</v>
      </c>
      <c r="C75" s="5" t="str">
        <f>HYPERLINK("http://data.overheid.nl/data/dataset/dieptegegevens-noordzee-met-5-m-resolutie","Dieptegegevens Noordzee met 5 m resolutie")</f>
        <v>Dieptegegevens Noordzee met 5 m resolutie</v>
      </c>
      <c r="D75" s="6" t="s">
        <v>17</v>
      </c>
      <c r="E75" s="5" t="s">
        <v>18</v>
      </c>
      <c r="F75" s="6" t="s">
        <v>813</v>
      </c>
      <c r="G75" s="5" t="s">
        <v>74</v>
      </c>
      <c r="H75" s="6" t="s">
        <v>20</v>
      </c>
      <c r="I75" s="5" t="s">
        <v>21</v>
      </c>
      <c r="J75" s="4" t="s">
        <v>22</v>
      </c>
      <c r="K75" s="2" t="s">
        <v>23</v>
      </c>
      <c r="L75" s="6" t="s">
        <v>24</v>
      </c>
      <c r="M75" s="5" t="s">
        <v>25</v>
      </c>
      <c r="N75" s="3" t="s">
        <v>26</v>
      </c>
      <c r="O75" s="5">
        <v>2</v>
      </c>
      <c r="P75" s="3" t="s">
        <v>23</v>
      </c>
      <c r="Q75" s="5"/>
    </row>
    <row r="76" spans="1:17" ht="46.5">
      <c r="A76" s="5">
        <v>71</v>
      </c>
      <c r="B76" s="6" t="s">
        <v>16</v>
      </c>
      <c r="C76" s="5" t="str">
        <f>HYPERLINK("http://data.overheid.nl/data/dataset/bathymetrie-versie-2013","Bathymetrie versie 2013")</f>
        <v>Bathymetrie versie 2013</v>
      </c>
      <c r="D76" s="6" t="s">
        <v>17</v>
      </c>
      <c r="E76" s="5" t="s">
        <v>18</v>
      </c>
      <c r="F76" s="6" t="s">
        <v>813</v>
      </c>
      <c r="G76" s="5" t="s">
        <v>75</v>
      </c>
      <c r="H76" s="6" t="s">
        <v>20</v>
      </c>
      <c r="I76" s="5" t="s">
        <v>21</v>
      </c>
      <c r="J76" s="4" t="s">
        <v>22</v>
      </c>
      <c r="K76" s="2" t="s">
        <v>23</v>
      </c>
      <c r="L76" s="6" t="s">
        <v>24</v>
      </c>
      <c r="M76" s="5" t="s">
        <v>25</v>
      </c>
      <c r="N76" s="3" t="s">
        <v>26</v>
      </c>
      <c r="O76" s="5">
        <v>2</v>
      </c>
      <c r="P76" s="3" t="s">
        <v>23</v>
      </c>
      <c r="Q76" s="5"/>
    </row>
    <row r="77" spans="1:17" ht="31">
      <c r="A77" s="5">
        <v>72</v>
      </c>
      <c r="B77" s="6" t="s">
        <v>16</v>
      </c>
      <c r="C77" s="5" t="str">
        <f>HYPERLINK("http://data.overheid.nl/data/dataset/astronomische-waterstandsreeksen-rijkswateren","Astronomische waterstandsreeksen rijkswateren")</f>
        <v>Astronomische waterstandsreeksen rijkswateren</v>
      </c>
      <c r="D77" s="6" t="s">
        <v>17</v>
      </c>
      <c r="E77" s="5" t="s">
        <v>18</v>
      </c>
      <c r="F77" s="6" t="s">
        <v>813</v>
      </c>
      <c r="G77" s="5" t="s">
        <v>76</v>
      </c>
      <c r="H77" s="6" t="s">
        <v>20</v>
      </c>
      <c r="I77" s="5" t="s">
        <v>21</v>
      </c>
      <c r="J77" s="4" t="s">
        <v>22</v>
      </c>
      <c r="K77" s="2" t="s">
        <v>23</v>
      </c>
      <c r="L77" s="6" t="s">
        <v>24</v>
      </c>
      <c r="M77" s="5" t="s">
        <v>25</v>
      </c>
      <c r="N77" s="3" t="s">
        <v>26</v>
      </c>
      <c r="O77" s="5">
        <v>1</v>
      </c>
      <c r="P77" s="3" t="s">
        <v>23</v>
      </c>
      <c r="Q77" s="5"/>
    </row>
    <row r="78" spans="1:17" ht="108.5">
      <c r="A78" s="5">
        <v>73</v>
      </c>
      <c r="B78" s="6" t="s">
        <v>16</v>
      </c>
      <c r="C78" s="5" t="str">
        <f>HYPERLINK("http://data.overheid.nl/data/dataset/aqualarm-waterkwaliteitmetingen-rijkswateren","AQUALARM waterkwaliteitmetingen rijkswateren")</f>
        <v>AQUALARM waterkwaliteitmetingen rijkswateren</v>
      </c>
      <c r="D78" s="6" t="s">
        <v>17</v>
      </c>
      <c r="E78" s="5" t="s">
        <v>18</v>
      </c>
      <c r="F78" s="6" t="s">
        <v>813</v>
      </c>
      <c r="G78" s="5" t="s">
        <v>77</v>
      </c>
      <c r="H78" s="6" t="s">
        <v>20</v>
      </c>
      <c r="I78" s="5" t="s">
        <v>21</v>
      </c>
      <c r="J78" s="4" t="s">
        <v>22</v>
      </c>
      <c r="K78" s="2" t="s">
        <v>23</v>
      </c>
      <c r="L78" s="6" t="s">
        <v>24</v>
      </c>
      <c r="M78" s="5" t="s">
        <v>25</v>
      </c>
      <c r="N78" s="3" t="s">
        <v>26</v>
      </c>
      <c r="O78" s="5">
        <v>2</v>
      </c>
      <c r="P78" s="3" t="s">
        <v>23</v>
      </c>
      <c r="Q78" s="5"/>
    </row>
    <row r="79" spans="1:17" ht="108.5">
      <c r="A79" s="5">
        <v>74</v>
      </c>
      <c r="B79" s="6" t="s">
        <v>16</v>
      </c>
      <c r="C79" s="5" t="str">
        <f>HYPERLINK("http://data.overheid.nl/data/dataset/waterdiepte-in-risicogebied-risicokaart-nl","Waterdiepte in risicogebied (Risicokaart NL)")</f>
        <v>Waterdiepte in risicogebied (Risicokaart NL)</v>
      </c>
      <c r="D79" s="6" t="s">
        <v>17</v>
      </c>
      <c r="E79" s="5" t="s">
        <v>18</v>
      </c>
      <c r="F79" s="6" t="s">
        <v>813</v>
      </c>
      <c r="G79" s="5" t="s">
        <v>78</v>
      </c>
      <c r="H79" s="6" t="s">
        <v>20</v>
      </c>
      <c r="I79" s="5" t="s">
        <v>21</v>
      </c>
      <c r="J79" s="4" t="s">
        <v>22</v>
      </c>
      <c r="K79" s="2" t="s">
        <v>23</v>
      </c>
      <c r="L79" s="6" t="s">
        <v>24</v>
      </c>
      <c r="M79" s="5" t="s">
        <v>25</v>
      </c>
      <c r="N79" s="3" t="s">
        <v>26</v>
      </c>
      <c r="O79" s="5">
        <v>2</v>
      </c>
      <c r="P79" s="3" t="s">
        <v>23</v>
      </c>
      <c r="Q79" s="5"/>
    </row>
    <row r="80" spans="1:17" ht="31">
      <c r="A80" s="5">
        <v>75</v>
      </c>
      <c r="B80" s="6" t="s">
        <v>16</v>
      </c>
      <c r="C80" s="5" t="str">
        <f>HYPERLINK("http://data.overheid.nl/data/dataset/verkeersintensiteiten-inweva-werkdag-2012","Verkeersintensiteiten INWEVA werkdag 2012")</f>
        <v>Verkeersintensiteiten INWEVA werkdag 2012</v>
      </c>
      <c r="D80" s="6" t="s">
        <v>17</v>
      </c>
      <c r="E80" s="5" t="s">
        <v>18</v>
      </c>
      <c r="F80" s="6" t="s">
        <v>813</v>
      </c>
      <c r="G80" s="5" t="s">
        <v>79</v>
      </c>
      <c r="H80" s="6" t="s">
        <v>20</v>
      </c>
      <c r="I80" s="5" t="s">
        <v>21</v>
      </c>
      <c r="J80" s="4" t="s">
        <v>22</v>
      </c>
      <c r="K80" s="2" t="s">
        <v>23</v>
      </c>
      <c r="L80" s="6" t="s">
        <v>24</v>
      </c>
      <c r="M80" s="5" t="s">
        <v>25</v>
      </c>
      <c r="N80" s="3" t="s">
        <v>26</v>
      </c>
      <c r="O80" s="5">
        <v>4</v>
      </c>
      <c r="P80" s="3" t="s">
        <v>23</v>
      </c>
      <c r="Q80" s="5"/>
    </row>
    <row r="81" spans="1:17" ht="31">
      <c r="A81" s="5">
        <v>76</v>
      </c>
      <c r="B81" s="6" t="s">
        <v>16</v>
      </c>
      <c r="C81" s="5" t="str">
        <f>HYPERLINK("http://data.overheid.nl/data/dataset/verkeersintensiteiten-inweva-weekdag-2012","Verkeersintensiteiten INWEVA weekdag 2012")</f>
        <v>Verkeersintensiteiten INWEVA weekdag 2012</v>
      </c>
      <c r="D81" s="6" t="s">
        <v>17</v>
      </c>
      <c r="E81" s="5" t="s">
        <v>18</v>
      </c>
      <c r="F81" s="6" t="s">
        <v>813</v>
      </c>
      <c r="G81" s="5" t="s">
        <v>80</v>
      </c>
      <c r="H81" s="6" t="s">
        <v>28</v>
      </c>
      <c r="I81" s="5" t="s">
        <v>21</v>
      </c>
      <c r="J81" s="4" t="s">
        <v>22</v>
      </c>
      <c r="K81" s="2" t="s">
        <v>23</v>
      </c>
      <c r="L81" s="6" t="s">
        <v>24</v>
      </c>
      <c r="M81" s="5" t="s">
        <v>25</v>
      </c>
      <c r="N81" s="3" t="s">
        <v>26</v>
      </c>
      <c r="O81" s="5">
        <v>4</v>
      </c>
      <c r="P81" s="3" t="s">
        <v>23</v>
      </c>
      <c r="Q81" s="5"/>
    </row>
    <row r="82" spans="1:17" ht="31">
      <c r="A82" s="5">
        <v>77</v>
      </c>
      <c r="B82" s="6" t="s">
        <v>16</v>
      </c>
      <c r="C82" s="5" t="str">
        <f>HYPERLINK("http://data.overheid.nl/data/dataset/verkeersintensiteiten-inweva-spits-2012","Verkeersintensiteiten INWEVA spits 2012")</f>
        <v>Verkeersintensiteiten INWEVA spits 2012</v>
      </c>
      <c r="D82" s="6" t="s">
        <v>17</v>
      </c>
      <c r="E82" s="5" t="s">
        <v>18</v>
      </c>
      <c r="F82" s="6" t="s">
        <v>813</v>
      </c>
      <c r="G82" s="5" t="s">
        <v>81</v>
      </c>
      <c r="H82" s="6" t="s">
        <v>20</v>
      </c>
      <c r="I82" s="5" t="s">
        <v>21</v>
      </c>
      <c r="J82" s="4" t="s">
        <v>22</v>
      </c>
      <c r="K82" s="2" t="s">
        <v>23</v>
      </c>
      <c r="L82" s="6" t="s">
        <v>24</v>
      </c>
      <c r="M82" s="5" t="s">
        <v>25</v>
      </c>
      <c r="N82" s="3" t="s">
        <v>26</v>
      </c>
      <c r="O82" s="5">
        <v>8</v>
      </c>
      <c r="P82" s="3" t="s">
        <v>23</v>
      </c>
      <c r="Q82" s="5"/>
    </row>
    <row r="83" spans="1:17" ht="46.5">
      <c r="A83" s="5">
        <v>78</v>
      </c>
      <c r="B83" s="6" t="s">
        <v>16</v>
      </c>
      <c r="C83" s="5" t="str">
        <f>HYPERLINK("http://data.overheid.nl/data/dataset/rws-kunstwerken","RWS kunstwerken")</f>
        <v>RWS kunstwerken</v>
      </c>
      <c r="D83" s="6" t="s">
        <v>17</v>
      </c>
      <c r="E83" s="5" t="s">
        <v>18</v>
      </c>
      <c r="F83" s="6" t="s">
        <v>813</v>
      </c>
      <c r="G83" s="5" t="s">
        <v>82</v>
      </c>
      <c r="H83" s="6" t="s">
        <v>20</v>
      </c>
      <c r="I83" s="5" t="s">
        <v>21</v>
      </c>
      <c r="J83" s="4" t="s">
        <v>22</v>
      </c>
      <c r="K83" s="2" t="s">
        <v>23</v>
      </c>
      <c r="L83" s="6" t="s">
        <v>24</v>
      </c>
      <c r="M83" s="5" t="s">
        <v>25</v>
      </c>
      <c r="N83" s="3" t="s">
        <v>26</v>
      </c>
      <c r="O83" s="5">
        <v>4</v>
      </c>
      <c r="P83" s="3" t="s">
        <v>23</v>
      </c>
      <c r="Q83" s="5"/>
    </row>
    <row r="84" spans="1:17" ht="62">
      <c r="A84" s="5">
        <v>79</v>
      </c>
      <c r="B84" s="6" t="s">
        <v>16</v>
      </c>
      <c r="C84" s="5" t="str">
        <f>HYPERLINK("http://data.overheid.nl/data/dataset/rws-dijkringlijnen","RWS dijkringlijnen")</f>
        <v>RWS dijkringlijnen</v>
      </c>
      <c r="D84" s="6" t="s">
        <v>17</v>
      </c>
      <c r="E84" s="5" t="s">
        <v>18</v>
      </c>
      <c r="F84" s="6" t="s">
        <v>813</v>
      </c>
      <c r="G84" s="5" t="s">
        <v>83</v>
      </c>
      <c r="H84" s="6" t="s">
        <v>20</v>
      </c>
      <c r="I84" s="5" t="s">
        <v>21</v>
      </c>
      <c r="J84" s="4" t="s">
        <v>22</v>
      </c>
      <c r="K84" s="2" t="s">
        <v>23</v>
      </c>
      <c r="L84" s="6" t="s">
        <v>24</v>
      </c>
      <c r="M84" s="5" t="s">
        <v>25</v>
      </c>
      <c r="N84" s="3" t="s">
        <v>26</v>
      </c>
      <c r="O84" s="5">
        <v>4</v>
      </c>
      <c r="P84" s="3" t="s">
        <v>23</v>
      </c>
      <c r="Q84" s="5"/>
    </row>
    <row r="85" spans="1:17" ht="108.5">
      <c r="A85" s="5">
        <v>80</v>
      </c>
      <c r="B85" s="6" t="s">
        <v>16</v>
      </c>
      <c r="C85" s="5" t="str">
        <f>HYPERLINK("http://data.overheid.nl/data/dataset/potentiele-waterdiepte-op-laagste-punt-wegvak-pilotgebied","Potentiele waterdiepte op laagste punt wegvak (pilotgebied)")</f>
        <v>Potentiele waterdiepte op laagste punt wegvak (pilotgebied)</v>
      </c>
      <c r="D85" s="6" t="s">
        <v>17</v>
      </c>
      <c r="E85" s="5" t="s">
        <v>18</v>
      </c>
      <c r="F85" s="6" t="s">
        <v>813</v>
      </c>
      <c r="G85" s="5" t="s">
        <v>78</v>
      </c>
      <c r="H85" s="6" t="s">
        <v>28</v>
      </c>
      <c r="I85" s="5" t="s">
        <v>21</v>
      </c>
      <c r="J85" s="4" t="s">
        <v>22</v>
      </c>
      <c r="K85" s="2" t="s">
        <v>23</v>
      </c>
      <c r="L85" s="6" t="s">
        <v>24</v>
      </c>
      <c r="M85" s="5" t="s">
        <v>25</v>
      </c>
      <c r="N85" s="3" t="s">
        <v>26</v>
      </c>
      <c r="O85" s="5">
        <v>2</v>
      </c>
      <c r="P85" s="3" t="s">
        <v>23</v>
      </c>
      <c r="Q85" s="5"/>
    </row>
    <row r="86" spans="1:17" ht="108.5">
      <c r="A86" s="5">
        <v>81</v>
      </c>
      <c r="B86" s="6" t="s">
        <v>16</v>
      </c>
      <c r="C86" s="5" t="str">
        <f>HYPERLINK("http://data.overheid.nl/data/dataset/potentiele-waterdiepte-op-laagste-punt-wegvak","Potentiele waterdiepte op laagste punt wegvak")</f>
        <v>Potentiele waterdiepte op laagste punt wegvak</v>
      </c>
      <c r="D86" s="6" t="s">
        <v>17</v>
      </c>
      <c r="E86" s="5" t="s">
        <v>18</v>
      </c>
      <c r="F86" s="6" t="s">
        <v>813</v>
      </c>
      <c r="G86" s="5" t="s">
        <v>78</v>
      </c>
      <c r="H86" s="6" t="s">
        <v>20</v>
      </c>
      <c r="I86" s="5" t="s">
        <v>21</v>
      </c>
      <c r="J86" s="4" t="s">
        <v>22</v>
      </c>
      <c r="K86" s="2" t="s">
        <v>23</v>
      </c>
      <c r="L86" s="6" t="s">
        <v>24</v>
      </c>
      <c r="M86" s="5" t="s">
        <v>25</v>
      </c>
      <c r="N86" s="3" t="s">
        <v>26</v>
      </c>
      <c r="O86" s="5">
        <v>4</v>
      </c>
      <c r="P86" s="3" t="s">
        <v>23</v>
      </c>
      <c r="Q86" s="5"/>
    </row>
    <row r="87" spans="1:17" ht="31">
      <c r="A87" s="5">
        <v>82</v>
      </c>
      <c r="B87" s="6" t="s">
        <v>16</v>
      </c>
      <c r="C87" s="5" t="str">
        <f>HYPERLINK("http://data.overheid.nl/data/dataset/overige-kilometer-en-mijl-grenzen","Overige kilometer en mijl grenzen")</f>
        <v>Overige kilometer en mijl grenzen</v>
      </c>
      <c r="D87" s="6" t="s">
        <v>17</v>
      </c>
      <c r="E87" s="5" t="s">
        <v>18</v>
      </c>
      <c r="F87" s="6" t="s">
        <v>813</v>
      </c>
      <c r="G87" s="5" t="s">
        <v>84</v>
      </c>
      <c r="H87" s="6" t="s">
        <v>20</v>
      </c>
      <c r="I87" s="5" t="s">
        <v>21</v>
      </c>
      <c r="J87" s="4" t="s">
        <v>22</v>
      </c>
      <c r="K87" s="2" t="s">
        <v>23</v>
      </c>
      <c r="L87" s="6" t="s">
        <v>24</v>
      </c>
      <c r="M87" s="5" t="s">
        <v>25</v>
      </c>
      <c r="N87" s="3" t="s">
        <v>26</v>
      </c>
      <c r="O87" s="5">
        <v>8</v>
      </c>
      <c r="P87" s="3" t="s">
        <v>23</v>
      </c>
      <c r="Q87" s="5"/>
    </row>
    <row r="88" spans="1:17" ht="124">
      <c r="A88" s="5">
        <v>83</v>
      </c>
      <c r="B88" s="6" t="s">
        <v>16</v>
      </c>
      <c r="C88" s="5" t="str">
        <f>HYPERLINK("http://data.overheid.nl/data/dataset/nationaal-wegen-bestand-wegen-wegvakken-2012","Nationaal Wegen Bestand Wegen wegvakken 2012")</f>
        <v>Nationaal Wegen Bestand Wegen wegvakken 2012</v>
      </c>
      <c r="D88" s="6" t="s">
        <v>17</v>
      </c>
      <c r="E88" s="5" t="s">
        <v>18</v>
      </c>
      <c r="F88" s="6" t="s">
        <v>813</v>
      </c>
      <c r="G88" s="5" t="s">
        <v>19</v>
      </c>
      <c r="H88" s="6" t="s">
        <v>20</v>
      </c>
      <c r="I88" s="5" t="s">
        <v>21</v>
      </c>
      <c r="J88" s="4" t="s">
        <v>22</v>
      </c>
      <c r="K88" s="2" t="s">
        <v>23</v>
      </c>
      <c r="L88" s="6" t="s">
        <v>24</v>
      </c>
      <c r="M88" s="5" t="s">
        <v>25</v>
      </c>
      <c r="N88" s="3" t="s">
        <v>26</v>
      </c>
      <c r="O88" s="5">
        <v>2</v>
      </c>
      <c r="P88" s="3" t="s">
        <v>23</v>
      </c>
      <c r="Q88" s="5"/>
    </row>
    <row r="89" spans="1:17" ht="124">
      <c r="A89" s="5">
        <v>84</v>
      </c>
      <c r="B89" s="6" t="s">
        <v>16</v>
      </c>
      <c r="C89" s="5" t="str">
        <f>HYPERLINK("http://data.overheid.nl/data/dataset/nationaal-wegen-bestand-wegen-hectopunten-2012","Nationaal Wegen Bestand Wegen hectopunten 2012")</f>
        <v>Nationaal Wegen Bestand Wegen hectopunten 2012</v>
      </c>
      <c r="D89" s="6" t="s">
        <v>17</v>
      </c>
      <c r="E89" s="5" t="s">
        <v>18</v>
      </c>
      <c r="F89" s="6" t="s">
        <v>813</v>
      </c>
      <c r="G89" s="5" t="s">
        <v>27</v>
      </c>
      <c r="H89" s="6" t="s">
        <v>20</v>
      </c>
      <c r="I89" s="5" t="s">
        <v>21</v>
      </c>
      <c r="J89" s="4" t="s">
        <v>22</v>
      </c>
      <c r="K89" s="2" t="s">
        <v>23</v>
      </c>
      <c r="L89" s="6" t="s">
        <v>24</v>
      </c>
      <c r="M89" s="5" t="s">
        <v>25</v>
      </c>
      <c r="N89" s="3" t="s">
        <v>26</v>
      </c>
      <c r="O89" s="5">
        <v>2</v>
      </c>
      <c r="P89" s="3" t="s">
        <v>23</v>
      </c>
      <c r="Q89" s="5"/>
    </row>
    <row r="90" spans="1:17" ht="93">
      <c r="A90" s="5">
        <v>85</v>
      </c>
      <c r="B90" s="6" t="s">
        <v>16</v>
      </c>
      <c r="C90" s="5" t="str">
        <f>HYPERLINK("http://data.overheid.nl/data/dataset/kustlijnkaarten-ligging-rijksstrandpalen-lijn-langs-de-nederlandse-kust","Kustlijnkaarten: Ligging RijksStrandpalen lijn langs de Nederlandse Kust")</f>
        <v>Kustlijnkaarten: Ligging RijksStrandpalen lijn langs de Nederlandse Kust</v>
      </c>
      <c r="D90" s="6" t="s">
        <v>17</v>
      </c>
      <c r="E90" s="5" t="s">
        <v>18</v>
      </c>
      <c r="F90" s="6" t="s">
        <v>813</v>
      </c>
      <c r="G90" s="5" t="s">
        <v>85</v>
      </c>
      <c r="H90" s="6" t="s">
        <v>20</v>
      </c>
      <c r="I90" s="5" t="s">
        <v>21</v>
      </c>
      <c r="J90" s="4" t="s">
        <v>22</v>
      </c>
      <c r="K90" s="2" t="s">
        <v>23</v>
      </c>
      <c r="L90" s="6" t="s">
        <v>24</v>
      </c>
      <c r="M90" s="5" t="s">
        <v>25</v>
      </c>
      <c r="N90" s="3" t="s">
        <v>26</v>
      </c>
      <c r="O90" s="5">
        <v>8</v>
      </c>
      <c r="P90" s="3" t="s">
        <v>23</v>
      </c>
      <c r="Q90" s="5"/>
    </row>
    <row r="91" spans="1:17" ht="62">
      <c r="A91" s="5">
        <v>86</v>
      </c>
      <c r="B91" s="6" t="s">
        <v>16</v>
      </c>
      <c r="C91" s="5" t="str">
        <f>HYPERLINK("http://data.overheid.nl/data/dataset/kustlijnkaarten-ligging-jarkus-raaien-langs-de-nederlandse-kust","Kustlijnkaarten: Ligging JARKUS-raaien langs de Nederlandse Kust")</f>
        <v>Kustlijnkaarten: Ligging JARKUS-raaien langs de Nederlandse Kust</v>
      </c>
      <c r="D91" s="6" t="s">
        <v>17</v>
      </c>
      <c r="E91" s="5" t="s">
        <v>18</v>
      </c>
      <c r="F91" s="6" t="s">
        <v>813</v>
      </c>
      <c r="G91" s="5" t="s">
        <v>86</v>
      </c>
      <c r="H91" s="6" t="s">
        <v>20</v>
      </c>
      <c r="I91" s="5" t="s">
        <v>21</v>
      </c>
      <c r="J91" s="4" t="s">
        <v>22</v>
      </c>
      <c r="K91" s="2" t="s">
        <v>23</v>
      </c>
      <c r="L91" s="6" t="s">
        <v>24</v>
      </c>
      <c r="M91" s="5" t="s">
        <v>25</v>
      </c>
      <c r="N91" s="3" t="s">
        <v>26</v>
      </c>
      <c r="O91" s="5">
        <v>32</v>
      </c>
      <c r="P91" s="3" t="s">
        <v>23</v>
      </c>
      <c r="Q91" s="5"/>
    </row>
    <row r="92" spans="1:17" ht="46.5">
      <c r="A92" s="5">
        <v>87</v>
      </c>
      <c r="B92" s="6" t="s">
        <v>16</v>
      </c>
      <c r="C92" s="5" t="str">
        <f>HYPERLINK("http://data.overheid.nl/data/dataset/kustlijnkaarten-ligging-basiskustlijnpositie-langs-de-nederlandse-kust","Kustlijnkaarten: Ligging Basiskustlijnpositie langs de Nederlandse Kust")</f>
        <v>Kustlijnkaarten: Ligging Basiskustlijnpositie langs de Nederlandse Kust</v>
      </c>
      <c r="D92" s="6" t="s">
        <v>17</v>
      </c>
      <c r="E92" s="5" t="s">
        <v>18</v>
      </c>
      <c r="F92" s="6" t="s">
        <v>813</v>
      </c>
      <c r="G92" s="5" t="s">
        <v>87</v>
      </c>
      <c r="H92" s="6" t="s">
        <v>20</v>
      </c>
      <c r="I92" s="5" t="s">
        <v>21</v>
      </c>
      <c r="J92" s="4" t="s">
        <v>22</v>
      </c>
      <c r="K92" s="2" t="s">
        <v>23</v>
      </c>
      <c r="L92" s="6" t="s">
        <v>24</v>
      </c>
      <c r="M92" s="5" t="s">
        <v>25</v>
      </c>
      <c r="N92" s="3" t="s">
        <v>26</v>
      </c>
      <c r="O92" s="5">
        <v>8</v>
      </c>
      <c r="P92" s="3" t="s">
        <v>23</v>
      </c>
      <c r="Q92" s="5"/>
    </row>
    <row r="93" spans="1:17" ht="93">
      <c r="A93" s="5">
        <v>88</v>
      </c>
      <c r="B93" s="6" t="s">
        <v>16</v>
      </c>
      <c r="C93" s="5" t="str">
        <f>HYPERLINK("http://data.overheid.nl/data/dataset/kustlijnkaartenboek-2012-af-te-beelden-trendwaarden-schaal-50000","Kustlijnkaartenboek 2012: Af te beelden trendwaarden schaal (50000)")</f>
        <v>Kustlijnkaartenboek 2012: Af te beelden trendwaarden schaal (50000)</v>
      </c>
      <c r="D93" s="6" t="s">
        <v>17</v>
      </c>
      <c r="E93" s="5" t="s">
        <v>18</v>
      </c>
      <c r="F93" s="6" t="s">
        <v>813</v>
      </c>
      <c r="G93" s="5" t="s">
        <v>88</v>
      </c>
      <c r="H93" s="6" t="s">
        <v>20</v>
      </c>
      <c r="I93" s="5" t="s">
        <v>21</v>
      </c>
      <c r="J93" s="4" t="s">
        <v>22</v>
      </c>
      <c r="K93" s="2" t="s">
        <v>23</v>
      </c>
      <c r="L93" s="6" t="s">
        <v>24</v>
      </c>
      <c r="M93" s="5" t="s">
        <v>25</v>
      </c>
      <c r="N93" s="3" t="s">
        <v>26</v>
      </c>
      <c r="O93" s="5">
        <v>2</v>
      </c>
      <c r="P93" s="3" t="s">
        <v>23</v>
      </c>
      <c r="Q93" s="5"/>
    </row>
    <row r="94" spans="1:17" ht="93">
      <c r="A94" s="5">
        <v>89</v>
      </c>
      <c r="B94" s="6" t="s">
        <v>16</v>
      </c>
      <c r="C94" s="5" t="str">
        <f>HYPERLINK("http://data.overheid.nl/data/dataset/kustlijnkaartenboek-2012-af-te-beelden-trendwaarden-schaal-25000","Kustlijnkaartenboek 2012: Af te beelden trendwaarden schaal (25000)")</f>
        <v>Kustlijnkaartenboek 2012: Af te beelden trendwaarden schaal (25000)</v>
      </c>
      <c r="D94" s="6" t="s">
        <v>17</v>
      </c>
      <c r="E94" s="5" t="s">
        <v>18</v>
      </c>
      <c r="F94" s="6" t="s">
        <v>813</v>
      </c>
      <c r="G94" s="5" t="s">
        <v>88</v>
      </c>
      <c r="H94" s="6" t="s">
        <v>20</v>
      </c>
      <c r="I94" s="5" t="s">
        <v>21</v>
      </c>
      <c r="J94" s="4" t="s">
        <v>22</v>
      </c>
      <c r="K94" s="2" t="s">
        <v>23</v>
      </c>
      <c r="L94" s="6" t="s">
        <v>24</v>
      </c>
      <c r="M94" s="5" t="s">
        <v>25</v>
      </c>
      <c r="N94" s="3" t="s">
        <v>26</v>
      </c>
      <c r="O94" s="5">
        <v>2</v>
      </c>
      <c r="P94" s="3" t="s">
        <v>23</v>
      </c>
      <c r="Q94" s="5"/>
    </row>
    <row r="95" spans="1:17" ht="93">
      <c r="A95" s="5">
        <v>90</v>
      </c>
      <c r="B95" s="6" t="s">
        <v>16</v>
      </c>
      <c r="C95" s="5" t="str">
        <f>HYPERLINK("http://data.overheid.nl/data/dataset/kustlijnkaartenboek-2012-af-te-beelden-trendwaarden-schaal-100000","Kustlijnkaartenboek 2012: Af te beelden trendwaarden schaal (100000)")</f>
        <v>Kustlijnkaartenboek 2012: Af te beelden trendwaarden schaal (100000)</v>
      </c>
      <c r="D95" s="6" t="s">
        <v>17</v>
      </c>
      <c r="E95" s="5" t="s">
        <v>18</v>
      </c>
      <c r="F95" s="6" t="s">
        <v>813</v>
      </c>
      <c r="G95" s="5" t="s">
        <v>88</v>
      </c>
      <c r="H95" s="6" t="s">
        <v>20</v>
      </c>
      <c r="I95" s="5" t="s">
        <v>21</v>
      </c>
      <c r="J95" s="4" t="s">
        <v>22</v>
      </c>
      <c r="K95" s="2" t="s">
        <v>23</v>
      </c>
      <c r="L95" s="6" t="s">
        <v>24</v>
      </c>
      <c r="M95" s="5" t="s">
        <v>25</v>
      </c>
      <c r="N95" s="3" t="s">
        <v>26</v>
      </c>
      <c r="O95" s="5">
        <v>2</v>
      </c>
      <c r="P95" s="3" t="s">
        <v>23</v>
      </c>
      <c r="Q95" s="5"/>
    </row>
    <row r="96" spans="1:17" ht="62">
      <c r="A96" s="5">
        <v>91</v>
      </c>
      <c r="B96" s="6" t="s">
        <v>16</v>
      </c>
      <c r="C96" s="5" t="str">
        <f>HYPERLINK("http://data.overheid.nl/data/dataset/kustlijnkaart-2013-geplande-suppleties-schaal-50000","Kustlijnkaart 2013: Geplande suppleties schaal (50000)")</f>
        <v>Kustlijnkaart 2013: Geplande suppleties schaal (50000)</v>
      </c>
      <c r="D96" s="6" t="s">
        <v>17</v>
      </c>
      <c r="E96" s="5" t="s">
        <v>18</v>
      </c>
      <c r="F96" s="6" t="s">
        <v>813</v>
      </c>
      <c r="G96" s="5" t="s">
        <v>89</v>
      </c>
      <c r="H96" s="6" t="s">
        <v>20</v>
      </c>
      <c r="I96" s="5" t="s">
        <v>21</v>
      </c>
      <c r="J96" s="4" t="s">
        <v>22</v>
      </c>
      <c r="K96" s="2" t="s">
        <v>23</v>
      </c>
      <c r="L96" s="6" t="s">
        <v>24</v>
      </c>
      <c r="M96" s="5" t="s">
        <v>25</v>
      </c>
      <c r="N96" s="3" t="s">
        <v>26</v>
      </c>
      <c r="O96" s="5">
        <v>2</v>
      </c>
      <c r="P96" s="3" t="s">
        <v>23</v>
      </c>
      <c r="Q96" s="5"/>
    </row>
    <row r="97" spans="1:17" ht="62">
      <c r="A97" s="5">
        <v>92</v>
      </c>
      <c r="B97" s="6" t="s">
        <v>16</v>
      </c>
      <c r="C97" s="5" t="str">
        <f>HYPERLINK("http://data.overheid.nl/data/dataset/kustlijnkaart-2013-geplande-suppleties-schaal-25000","Kustlijnkaart 2013: Geplande suppleties schaal (25000)")</f>
        <v>Kustlijnkaart 2013: Geplande suppleties schaal (25000)</v>
      </c>
      <c r="D97" s="6" t="s">
        <v>17</v>
      </c>
      <c r="E97" s="5" t="s">
        <v>18</v>
      </c>
      <c r="F97" s="6" t="s">
        <v>813</v>
      </c>
      <c r="G97" s="5" t="s">
        <v>89</v>
      </c>
      <c r="H97" s="6" t="s">
        <v>20</v>
      </c>
      <c r="I97" s="5" t="s">
        <v>21</v>
      </c>
      <c r="J97" s="4" t="s">
        <v>22</v>
      </c>
      <c r="K97" s="2" t="s">
        <v>23</v>
      </c>
      <c r="L97" s="6" t="s">
        <v>24</v>
      </c>
      <c r="M97" s="5" t="s">
        <v>25</v>
      </c>
      <c r="N97" s="3" t="s">
        <v>26</v>
      </c>
      <c r="O97" s="5">
        <v>2</v>
      </c>
      <c r="P97" s="3" t="s">
        <v>23</v>
      </c>
      <c r="Q97" s="5"/>
    </row>
    <row r="98" spans="1:17" ht="62">
      <c r="A98" s="5">
        <v>93</v>
      </c>
      <c r="B98" s="6" t="s">
        <v>16</v>
      </c>
      <c r="C98" s="5" t="str">
        <f>HYPERLINK("http://data.overheid.nl/data/dataset/kustlijnkaart-2013-geplande-suppleties-schaal-100000","Kustlijnkaart 2013: Geplande suppleties schaal (100000)")</f>
        <v>Kustlijnkaart 2013: Geplande suppleties schaal (100000)</v>
      </c>
      <c r="D98" s="6" t="s">
        <v>17</v>
      </c>
      <c r="E98" s="5" t="s">
        <v>18</v>
      </c>
      <c r="F98" s="6" t="s">
        <v>813</v>
      </c>
      <c r="G98" s="5" t="s">
        <v>89</v>
      </c>
      <c r="H98" s="6" t="s">
        <v>20</v>
      </c>
      <c r="I98" s="5" t="s">
        <v>21</v>
      </c>
      <c r="J98" s="4" t="s">
        <v>22</v>
      </c>
      <c r="K98" s="2" t="s">
        <v>23</v>
      </c>
      <c r="L98" s="6" t="s">
        <v>24</v>
      </c>
      <c r="M98" s="5" t="s">
        <v>25</v>
      </c>
      <c r="N98" s="3" t="s">
        <v>26</v>
      </c>
      <c r="O98" s="5">
        <v>2</v>
      </c>
      <c r="P98" s="3" t="s">
        <v>23</v>
      </c>
      <c r="Q98" s="5"/>
    </row>
    <row r="99" spans="1:17" ht="62">
      <c r="A99" s="5">
        <v>94</v>
      </c>
      <c r="B99" s="6" t="s">
        <v>16</v>
      </c>
      <c r="C99" s="5" t="str">
        <f>HYPERLINK("http://data.overheid.nl/data/dataset/kustlijnkaart-2012-geplande-suppleties-schaal-50000","Kustlijnkaart 2012: Geplande suppleties schaal (50000)")</f>
        <v>Kustlijnkaart 2012: Geplande suppleties schaal (50000)</v>
      </c>
      <c r="D99" s="6" t="s">
        <v>17</v>
      </c>
      <c r="E99" s="5" t="s">
        <v>18</v>
      </c>
      <c r="F99" s="6" t="s">
        <v>813</v>
      </c>
      <c r="G99" s="5" t="s">
        <v>90</v>
      </c>
      <c r="H99" s="6" t="s">
        <v>20</v>
      </c>
      <c r="I99" s="5" t="s">
        <v>21</v>
      </c>
      <c r="J99" s="4" t="s">
        <v>22</v>
      </c>
      <c r="K99" s="2" t="s">
        <v>23</v>
      </c>
      <c r="L99" s="6" t="s">
        <v>24</v>
      </c>
      <c r="M99" s="5" t="s">
        <v>25</v>
      </c>
      <c r="N99" s="3" t="s">
        <v>26</v>
      </c>
      <c r="O99" s="5">
        <v>2</v>
      </c>
      <c r="P99" s="3" t="s">
        <v>23</v>
      </c>
      <c r="Q99" s="5"/>
    </row>
    <row r="100" spans="1:17" ht="62">
      <c r="A100" s="5">
        <v>95</v>
      </c>
      <c r="B100" s="6" t="s">
        <v>16</v>
      </c>
      <c r="C100" s="5" t="str">
        <f>HYPERLINK("http://data.overheid.nl/data/dataset/kustlijnkaart-2012-geplande-suppleties-schaal-25000","Kustlijnkaart 2012: Geplande suppleties schaal (25000)")</f>
        <v>Kustlijnkaart 2012: Geplande suppleties schaal (25000)</v>
      </c>
      <c r="D100" s="6" t="s">
        <v>17</v>
      </c>
      <c r="E100" s="5" t="s">
        <v>18</v>
      </c>
      <c r="F100" s="6" t="s">
        <v>813</v>
      </c>
      <c r="G100" s="5" t="s">
        <v>90</v>
      </c>
      <c r="H100" s="6" t="s">
        <v>20</v>
      </c>
      <c r="I100" s="5" t="s">
        <v>21</v>
      </c>
      <c r="J100" s="4" t="s">
        <v>22</v>
      </c>
      <c r="K100" s="2" t="s">
        <v>23</v>
      </c>
      <c r="L100" s="6" t="s">
        <v>24</v>
      </c>
      <c r="M100" s="5" t="s">
        <v>25</v>
      </c>
      <c r="N100" s="3" t="s">
        <v>26</v>
      </c>
      <c r="O100" s="5">
        <v>2</v>
      </c>
      <c r="P100" s="3" t="s">
        <v>23</v>
      </c>
      <c r="Q100" s="5"/>
    </row>
    <row r="101" spans="1:17" ht="62">
      <c r="A101" s="5">
        <v>96</v>
      </c>
      <c r="B101" s="6" t="s">
        <v>16</v>
      </c>
      <c r="C101" s="5" t="str">
        <f>HYPERLINK("http://data.overheid.nl/data/dataset/kustlijnkaart-2012-geplande-suppleties-schaal-100000","Kustlijnkaart 2012: Geplande suppleties schaal (100000)")</f>
        <v>Kustlijnkaart 2012: Geplande suppleties schaal (100000)</v>
      </c>
      <c r="D101" s="6" t="s">
        <v>17</v>
      </c>
      <c r="E101" s="5" t="s">
        <v>18</v>
      </c>
      <c r="F101" s="6" t="s">
        <v>813</v>
      </c>
      <c r="G101" s="5" t="s">
        <v>90</v>
      </c>
      <c r="H101" s="6" t="s">
        <v>20</v>
      </c>
      <c r="I101" s="5" t="s">
        <v>21</v>
      </c>
      <c r="J101" s="4" t="s">
        <v>22</v>
      </c>
      <c r="K101" s="2" t="s">
        <v>23</v>
      </c>
      <c r="L101" s="6" t="s">
        <v>24</v>
      </c>
      <c r="M101" s="5" t="s">
        <v>25</v>
      </c>
      <c r="N101" s="3" t="s">
        <v>26</v>
      </c>
      <c r="O101" s="5">
        <v>2</v>
      </c>
      <c r="P101" s="3" t="s">
        <v>23</v>
      </c>
      <c r="Q101" s="5"/>
    </row>
    <row r="102" spans="1:17" ht="108.5">
      <c r="A102" s="5">
        <v>97</v>
      </c>
      <c r="B102" s="6" t="s">
        <v>16</v>
      </c>
      <c r="C102" s="5" t="str">
        <f>HYPERLINK("http://data.overheid.nl/data/dataset/kustlijnkaart-2012-berekende-trendwaarden-schaal-50000","Kustlijnkaart 2012: Berekende trendwaarden schaal (50000)")</f>
        <v>Kustlijnkaart 2012: Berekende trendwaarden schaal (50000)</v>
      </c>
      <c r="D102" s="6" t="s">
        <v>17</v>
      </c>
      <c r="E102" s="5" t="s">
        <v>18</v>
      </c>
      <c r="F102" s="6" t="s">
        <v>813</v>
      </c>
      <c r="G102" s="5" t="s">
        <v>91</v>
      </c>
      <c r="H102" s="6" t="s">
        <v>20</v>
      </c>
      <c r="I102" s="5" t="s">
        <v>21</v>
      </c>
      <c r="J102" s="4" t="s">
        <v>22</v>
      </c>
      <c r="K102" s="2" t="s">
        <v>23</v>
      </c>
      <c r="L102" s="6" t="s">
        <v>24</v>
      </c>
      <c r="M102" s="5" t="s">
        <v>25</v>
      </c>
      <c r="N102" s="3" t="s">
        <v>26</v>
      </c>
      <c r="O102" s="5">
        <v>2</v>
      </c>
      <c r="P102" s="3" t="s">
        <v>23</v>
      </c>
      <c r="Q102" s="5"/>
    </row>
    <row r="103" spans="1:17" ht="108.5">
      <c r="A103" s="5">
        <v>98</v>
      </c>
      <c r="B103" s="6" t="s">
        <v>16</v>
      </c>
      <c r="C103" s="5" t="str">
        <f>HYPERLINK("http://data.overheid.nl/data/dataset/kustlijnkaart-2012-berekende-trendwaarden-schaal-25000","Kustlijnkaart 2012: Berekende trendwaarden schaal (25000)")</f>
        <v>Kustlijnkaart 2012: Berekende trendwaarden schaal (25000)</v>
      </c>
      <c r="D103" s="6" t="s">
        <v>17</v>
      </c>
      <c r="E103" s="5" t="s">
        <v>18</v>
      </c>
      <c r="F103" s="6" t="s">
        <v>813</v>
      </c>
      <c r="G103" s="5" t="s">
        <v>91</v>
      </c>
      <c r="H103" s="6" t="s">
        <v>20</v>
      </c>
      <c r="I103" s="5" t="s">
        <v>21</v>
      </c>
      <c r="J103" s="4" t="s">
        <v>22</v>
      </c>
      <c r="K103" s="2" t="s">
        <v>23</v>
      </c>
      <c r="L103" s="6" t="s">
        <v>24</v>
      </c>
      <c r="M103" s="5" t="s">
        <v>25</v>
      </c>
      <c r="N103" s="3" t="s">
        <v>26</v>
      </c>
      <c r="O103" s="5">
        <v>2</v>
      </c>
      <c r="P103" s="3" t="s">
        <v>23</v>
      </c>
      <c r="Q103" s="5"/>
    </row>
    <row r="104" spans="1:17" ht="108.5">
      <c r="A104" s="5">
        <v>99</v>
      </c>
      <c r="B104" s="6" t="s">
        <v>16</v>
      </c>
      <c r="C104" s="5" t="str">
        <f>HYPERLINK("http://data.overheid.nl/data/dataset/kustlijnkaart-2012-berekende-trendwaarden-schaal-100000","Kustlijnkaart 2012: Berekende trendwaarden schaal (100000)")</f>
        <v>Kustlijnkaart 2012: Berekende trendwaarden schaal (100000)</v>
      </c>
      <c r="D104" s="6" t="s">
        <v>17</v>
      </c>
      <c r="E104" s="5" t="s">
        <v>18</v>
      </c>
      <c r="F104" s="6" t="s">
        <v>813</v>
      </c>
      <c r="G104" s="5" t="s">
        <v>91</v>
      </c>
      <c r="H104" s="6" t="s">
        <v>20</v>
      </c>
      <c r="I104" s="5" t="s">
        <v>21</v>
      </c>
      <c r="J104" s="4" t="s">
        <v>22</v>
      </c>
      <c r="K104" s="2" t="s">
        <v>23</v>
      </c>
      <c r="L104" s="6" t="s">
        <v>24</v>
      </c>
      <c r="M104" s="5" t="s">
        <v>25</v>
      </c>
      <c r="N104" s="3" t="s">
        <v>26</v>
      </c>
      <c r="O104" s="5">
        <v>2</v>
      </c>
      <c r="P104" s="3" t="s">
        <v>23</v>
      </c>
      <c r="Q104" s="5"/>
    </row>
    <row r="105" spans="1:17" ht="31">
      <c r="A105" s="5">
        <v>100</v>
      </c>
      <c r="B105" s="6" t="s">
        <v>16</v>
      </c>
      <c r="C105" s="5" t="str">
        <f>HYPERLINK("http://data.overheid.nl/data/dataset/helikopterfoto-s-2012-van-rivieren-in-beheergebied-rws-zuid-holland","Helikopterfoto's 2012 van rivieren in beheergebied RWS Zuid-Holland")</f>
        <v>Helikopterfoto's 2012 van rivieren in beheergebied RWS Zuid-Holland</v>
      </c>
      <c r="D105" s="6" t="s">
        <v>17</v>
      </c>
      <c r="E105" s="5" t="s">
        <v>18</v>
      </c>
      <c r="F105" s="6" t="s">
        <v>813</v>
      </c>
      <c r="G105" s="5" t="s">
        <v>92</v>
      </c>
      <c r="H105" s="6" t="s">
        <v>20</v>
      </c>
      <c r="I105" s="5" t="s">
        <v>21</v>
      </c>
      <c r="J105" s="4" t="s">
        <v>22</v>
      </c>
      <c r="K105" s="2" t="s">
        <v>23</v>
      </c>
      <c r="L105" s="6" t="s">
        <v>24</v>
      </c>
      <c r="M105" s="5" t="s">
        <v>25</v>
      </c>
      <c r="N105" s="3" t="s">
        <v>26</v>
      </c>
      <c r="O105" s="5">
        <v>2</v>
      </c>
      <c r="P105" s="3" t="s">
        <v>23</v>
      </c>
      <c r="Q105" s="5"/>
    </row>
    <row r="106" spans="1:17" ht="108.5">
      <c r="A106" s="5">
        <v>101</v>
      </c>
      <c r="B106" s="6" t="s">
        <v>16</v>
      </c>
      <c r="C106" s="5" t="str">
        <f>HYPERLINK("http://data.overheid.nl/data/dataset/blue-spots-mogelijk-overstromingsrisico-vanuit-de-hoofdwatersystemen","Blue Spots: Mogelijk overstromingsrisico vanuit de hoofdwatersystemen")</f>
        <v>Blue Spots: Mogelijk overstromingsrisico vanuit de hoofdwatersystemen</v>
      </c>
      <c r="D106" s="6" t="s">
        <v>17</v>
      </c>
      <c r="E106" s="5" t="s">
        <v>18</v>
      </c>
      <c r="F106" s="6" t="s">
        <v>813</v>
      </c>
      <c r="G106" s="5" t="s">
        <v>78</v>
      </c>
      <c r="H106" s="6" t="s">
        <v>28</v>
      </c>
      <c r="I106" s="5" t="s">
        <v>21</v>
      </c>
      <c r="J106" s="4" t="s">
        <v>22</v>
      </c>
      <c r="K106" s="2" t="s">
        <v>23</v>
      </c>
      <c r="L106" s="6" t="s">
        <v>24</v>
      </c>
      <c r="M106" s="5" t="s">
        <v>25</v>
      </c>
      <c r="N106" s="3" t="s">
        <v>26</v>
      </c>
      <c r="O106" s="5">
        <v>2</v>
      </c>
      <c r="P106" s="3" t="s">
        <v>23</v>
      </c>
      <c r="Q106" s="5"/>
    </row>
    <row r="107" spans="1:17" ht="108.5">
      <c r="A107" s="5">
        <v>102</v>
      </c>
      <c r="B107" s="6" t="s">
        <v>16</v>
      </c>
      <c r="C107" s="5" t="str">
        <f>HYPERLINK("http://data.overheid.nl/data/dataset/aankomsttijden-water-vanuit-de-rivier","Aankomsttijden water vanuit de rivier")</f>
        <v>Aankomsttijden water vanuit de rivier</v>
      </c>
      <c r="D107" s="6" t="s">
        <v>17</v>
      </c>
      <c r="E107" s="5" t="s">
        <v>18</v>
      </c>
      <c r="F107" s="6" t="s">
        <v>813</v>
      </c>
      <c r="G107" s="5" t="s">
        <v>78</v>
      </c>
      <c r="H107" s="6" t="s">
        <v>20</v>
      </c>
      <c r="I107" s="5" t="s">
        <v>21</v>
      </c>
      <c r="J107" s="4" t="s">
        <v>22</v>
      </c>
      <c r="K107" s="2" t="s">
        <v>23</v>
      </c>
      <c r="L107" s="6" t="s">
        <v>24</v>
      </c>
      <c r="M107" s="5" t="s">
        <v>25</v>
      </c>
      <c r="N107" s="3" t="s">
        <v>26</v>
      </c>
      <c r="O107" s="5">
        <v>2</v>
      </c>
      <c r="P107" s="3" t="s">
        <v>23</v>
      </c>
      <c r="Q107" s="5"/>
    </row>
    <row r="108" spans="1:17" ht="108.5">
      <c r="A108" s="5">
        <v>103</v>
      </c>
      <c r="B108" s="6" t="s">
        <v>16</v>
      </c>
      <c r="C108" s="5" t="str">
        <f>HYPERLINK("http://data.overheid.nl/data/dataset/aankomsttijden-water-vanaf-de-zee","Aankomsttijden water vanaf de zee")</f>
        <v>Aankomsttijden water vanaf de zee</v>
      </c>
      <c r="D108" s="6" t="s">
        <v>17</v>
      </c>
      <c r="E108" s="5" t="s">
        <v>18</v>
      </c>
      <c r="F108" s="6" t="s">
        <v>813</v>
      </c>
      <c r="G108" s="5" t="s">
        <v>78</v>
      </c>
      <c r="H108" s="6" t="s">
        <v>28</v>
      </c>
      <c r="I108" s="5" t="s">
        <v>21</v>
      </c>
      <c r="J108" s="4" t="s">
        <v>22</v>
      </c>
      <c r="K108" s="2" t="s">
        <v>23</v>
      </c>
      <c r="L108" s="6" t="s">
        <v>24</v>
      </c>
      <c r="M108" s="5" t="s">
        <v>25</v>
      </c>
      <c r="N108" s="3" t="s">
        <v>26</v>
      </c>
      <c r="O108" s="5">
        <v>2</v>
      </c>
      <c r="P108" s="3" t="s">
        <v>23</v>
      </c>
      <c r="Q108" s="5"/>
    </row>
    <row r="109" spans="1:17" ht="124">
      <c r="A109" s="5">
        <v>104</v>
      </c>
      <c r="B109" s="6" t="s">
        <v>16</v>
      </c>
      <c r="C109" s="5" t="str">
        <f>HYPERLINK("http://data.overheid.nl/data/dataset/zeegebied-passagiersschepen","Zeegebied passagiersschepen")</f>
        <v>Zeegebied passagiersschepen</v>
      </c>
      <c r="D109" s="6" t="s">
        <v>17</v>
      </c>
      <c r="E109" s="5" t="s">
        <v>18</v>
      </c>
      <c r="F109" s="6" t="s">
        <v>813</v>
      </c>
      <c r="G109" s="5" t="s">
        <v>93</v>
      </c>
      <c r="H109" s="6" t="s">
        <v>20</v>
      </c>
      <c r="I109" s="5" t="s">
        <v>21</v>
      </c>
      <c r="J109" s="4" t="s">
        <v>22</v>
      </c>
      <c r="K109" s="2" t="s">
        <v>23</v>
      </c>
      <c r="L109" s="6" t="s">
        <v>24</v>
      </c>
      <c r="M109" s="5" t="s">
        <v>25</v>
      </c>
      <c r="N109" s="3" t="s">
        <v>26</v>
      </c>
      <c r="O109" s="5">
        <v>2</v>
      </c>
      <c r="P109" s="3" t="s">
        <v>23</v>
      </c>
      <c r="Q109" s="5"/>
    </row>
    <row r="110" spans="1:17" ht="155">
      <c r="A110" s="5">
        <v>105</v>
      </c>
      <c r="B110" s="6" t="s">
        <v>16</v>
      </c>
      <c r="C110" s="5" t="str">
        <f>HYPERLINK("http://data.overheid.nl/data/dataset/nationaal-wegen-bestand-wegen-wegvakken-2011","Nationaal Wegen Bestand Wegen wegvakken 2011")</f>
        <v>Nationaal Wegen Bestand Wegen wegvakken 2011</v>
      </c>
      <c r="D110" s="6" t="s">
        <v>17</v>
      </c>
      <c r="E110" s="5" t="s">
        <v>18</v>
      </c>
      <c r="F110" s="6" t="s">
        <v>813</v>
      </c>
      <c r="G110" s="5" t="s">
        <v>94</v>
      </c>
      <c r="H110" s="6" t="s">
        <v>20</v>
      </c>
      <c r="I110" s="5" t="s">
        <v>21</v>
      </c>
      <c r="J110" s="4" t="s">
        <v>22</v>
      </c>
      <c r="K110" s="2" t="s">
        <v>23</v>
      </c>
      <c r="L110" s="6" t="s">
        <v>24</v>
      </c>
      <c r="M110" s="5" t="s">
        <v>25</v>
      </c>
      <c r="N110" s="3" t="s">
        <v>26</v>
      </c>
      <c r="O110" s="5">
        <v>2</v>
      </c>
      <c r="P110" s="3" t="s">
        <v>23</v>
      </c>
      <c r="Q110" s="5"/>
    </row>
    <row r="111" spans="1:17" ht="155">
      <c r="A111" s="5">
        <v>106</v>
      </c>
      <c r="B111" s="6" t="s">
        <v>16</v>
      </c>
      <c r="C111" s="5" t="str">
        <f>HYPERLINK("http://data.overheid.nl/data/dataset/nationaal-wegen-bestand-wegen-hectopunten-2011","Nationaal Wegen Bestand Wegen hectopunten 2011")</f>
        <v>Nationaal Wegen Bestand Wegen hectopunten 2011</v>
      </c>
      <c r="D111" s="6" t="s">
        <v>17</v>
      </c>
      <c r="E111" s="5" t="s">
        <v>18</v>
      </c>
      <c r="F111" s="6" t="s">
        <v>813</v>
      </c>
      <c r="G111" s="5" t="s">
        <v>95</v>
      </c>
      <c r="H111" s="6" t="s">
        <v>20</v>
      </c>
      <c r="I111" s="5" t="s">
        <v>21</v>
      </c>
      <c r="J111" s="4" t="s">
        <v>22</v>
      </c>
      <c r="K111" s="2" t="s">
        <v>23</v>
      </c>
      <c r="L111" s="6" t="s">
        <v>24</v>
      </c>
      <c r="M111" s="5" t="s">
        <v>25</v>
      </c>
      <c r="N111" s="3" t="s">
        <v>26</v>
      </c>
      <c r="O111" s="5">
        <v>2</v>
      </c>
      <c r="P111" s="3" t="s">
        <v>23</v>
      </c>
      <c r="Q111" s="5"/>
    </row>
    <row r="112" spans="1:17" ht="77.5">
      <c r="A112" s="5">
        <v>107</v>
      </c>
      <c r="B112" s="6" t="s">
        <v>16</v>
      </c>
      <c r="C112" s="5" t="str">
        <f>HYPERLINK("http://data.overheid.nl/data/dataset/milieueffectmetingen-monitoring-shortlist-wind-op-zee","Milieueffectmetingen monitoring shortlist wind op zee")</f>
        <v>Milieueffectmetingen monitoring shortlist wind op zee</v>
      </c>
      <c r="D112" s="6" t="s">
        <v>17</v>
      </c>
      <c r="E112" s="5" t="s">
        <v>18</v>
      </c>
      <c r="F112" s="6" t="s">
        <v>813</v>
      </c>
      <c r="G112" s="5" t="s">
        <v>96</v>
      </c>
      <c r="H112" s="6" t="s">
        <v>20</v>
      </c>
      <c r="I112" s="5" t="s">
        <v>21</v>
      </c>
      <c r="J112" s="4" t="s">
        <v>22</v>
      </c>
      <c r="K112" s="2" t="s">
        <v>23</v>
      </c>
      <c r="L112" s="6" t="s">
        <v>24</v>
      </c>
      <c r="M112" s="5" t="s">
        <v>25</v>
      </c>
      <c r="N112" s="3" t="s">
        <v>26</v>
      </c>
      <c r="O112" s="5">
        <v>6</v>
      </c>
      <c r="P112" s="3" t="s">
        <v>23</v>
      </c>
      <c r="Q112" s="5"/>
    </row>
    <row r="113" spans="1:17" ht="93">
      <c r="A113" s="5">
        <v>108</v>
      </c>
      <c r="B113" s="6" t="s">
        <v>16</v>
      </c>
      <c r="C113" s="5" t="str">
        <f>HYPERLINK("http://data.overheid.nl/data/dataset/kustlijnkaartenboek-2011-af-te-beelden-trendwaarden-schaal-50000","Kustlijnkaartenboek 2011: Af te beelden trendwaarden schaal (50000)")</f>
        <v>Kustlijnkaartenboek 2011: Af te beelden trendwaarden schaal (50000)</v>
      </c>
      <c r="D113" s="6" t="s">
        <v>17</v>
      </c>
      <c r="E113" s="5" t="s">
        <v>18</v>
      </c>
      <c r="F113" s="6" t="s">
        <v>813</v>
      </c>
      <c r="G113" s="5" t="s">
        <v>97</v>
      </c>
      <c r="H113" s="6" t="s">
        <v>20</v>
      </c>
      <c r="I113" s="5" t="s">
        <v>21</v>
      </c>
      <c r="J113" s="4" t="s">
        <v>22</v>
      </c>
      <c r="K113" s="2" t="s">
        <v>23</v>
      </c>
      <c r="L113" s="6" t="s">
        <v>24</v>
      </c>
      <c r="M113" s="5" t="s">
        <v>25</v>
      </c>
      <c r="N113" s="3" t="s">
        <v>26</v>
      </c>
      <c r="O113" s="5">
        <v>2</v>
      </c>
      <c r="P113" s="3" t="s">
        <v>23</v>
      </c>
      <c r="Q113" s="5"/>
    </row>
    <row r="114" spans="1:17" ht="93">
      <c r="A114" s="5">
        <v>109</v>
      </c>
      <c r="B114" s="6" t="s">
        <v>16</v>
      </c>
      <c r="C114" s="5" t="str">
        <f>HYPERLINK("http://data.overheid.nl/data/dataset/kustlijnkaartenboek-2011-af-te-beelden-trendwaarden-schaal-25000","Kustlijnkaartenboek 2011: Af te beelden trendwaarden schaal (25000)")</f>
        <v>Kustlijnkaartenboek 2011: Af te beelden trendwaarden schaal (25000)</v>
      </c>
      <c r="D114" s="6" t="s">
        <v>17</v>
      </c>
      <c r="E114" s="5" t="s">
        <v>18</v>
      </c>
      <c r="F114" s="6" t="s">
        <v>813</v>
      </c>
      <c r="G114" s="5" t="s">
        <v>97</v>
      </c>
      <c r="H114" s="6" t="s">
        <v>20</v>
      </c>
      <c r="I114" s="5" t="s">
        <v>21</v>
      </c>
      <c r="J114" s="4" t="s">
        <v>22</v>
      </c>
      <c r="K114" s="2" t="s">
        <v>23</v>
      </c>
      <c r="L114" s="6" t="s">
        <v>24</v>
      </c>
      <c r="M114" s="5" t="s">
        <v>25</v>
      </c>
      <c r="N114" s="3" t="s">
        <v>26</v>
      </c>
      <c r="O114" s="5">
        <v>2</v>
      </c>
      <c r="P114" s="3" t="s">
        <v>23</v>
      </c>
      <c r="Q114" s="5"/>
    </row>
    <row r="115" spans="1:17" ht="93">
      <c r="A115" s="5">
        <v>110</v>
      </c>
      <c r="B115" s="6" t="s">
        <v>16</v>
      </c>
      <c r="C115" s="5" t="str">
        <f>HYPERLINK("http://data.overheid.nl/data/dataset/kustlijnkaartenboek-2011-af-te-beelden-trendwaarden-schaal-100000","Kustlijnkaartenboek 2011: Af te beelden trendwaarden schaal (100000)")</f>
        <v>Kustlijnkaartenboek 2011: Af te beelden trendwaarden schaal (100000)</v>
      </c>
      <c r="D115" s="6" t="s">
        <v>17</v>
      </c>
      <c r="E115" s="5" t="s">
        <v>18</v>
      </c>
      <c r="F115" s="6" t="s">
        <v>813</v>
      </c>
      <c r="G115" s="5" t="s">
        <v>97</v>
      </c>
      <c r="H115" s="6" t="s">
        <v>20</v>
      </c>
      <c r="I115" s="5" t="s">
        <v>21</v>
      </c>
      <c r="J115" s="4" t="s">
        <v>22</v>
      </c>
      <c r="K115" s="2" t="s">
        <v>23</v>
      </c>
      <c r="L115" s="6" t="s">
        <v>24</v>
      </c>
      <c r="M115" s="5" t="s">
        <v>25</v>
      </c>
      <c r="N115" s="3" t="s">
        <v>26</v>
      </c>
      <c r="O115" s="5">
        <v>2</v>
      </c>
      <c r="P115" s="3" t="s">
        <v>23</v>
      </c>
      <c r="Q115" s="5"/>
    </row>
    <row r="116" spans="1:17" ht="62">
      <c r="A116" s="5">
        <v>111</v>
      </c>
      <c r="B116" s="6" t="s">
        <v>16</v>
      </c>
      <c r="C116" s="5" t="str">
        <f>HYPERLINK("http://data.overheid.nl/data/dataset/kustlijnkaart-2011-geplande-suppleties-schaal-25000","Kustlijnkaart 2011: Geplande suppleties schaal (25000)")</f>
        <v>Kustlijnkaart 2011: Geplande suppleties schaal (25000)</v>
      </c>
      <c r="D116" s="6" t="s">
        <v>17</v>
      </c>
      <c r="E116" s="5" t="s">
        <v>18</v>
      </c>
      <c r="F116" s="6" t="s">
        <v>813</v>
      </c>
      <c r="G116" s="5" t="s">
        <v>98</v>
      </c>
      <c r="H116" s="6" t="s">
        <v>20</v>
      </c>
      <c r="I116" s="5" t="s">
        <v>21</v>
      </c>
      <c r="J116" s="4" t="s">
        <v>22</v>
      </c>
      <c r="K116" s="2" t="s">
        <v>23</v>
      </c>
      <c r="L116" s="6" t="s">
        <v>24</v>
      </c>
      <c r="M116" s="5" t="s">
        <v>25</v>
      </c>
      <c r="N116" s="3" t="s">
        <v>26</v>
      </c>
      <c r="O116" s="5">
        <v>2</v>
      </c>
      <c r="P116" s="3" t="s">
        <v>23</v>
      </c>
      <c r="Q116" s="5"/>
    </row>
    <row r="117" spans="1:17" ht="62">
      <c r="A117" s="5">
        <v>112</v>
      </c>
      <c r="B117" s="6" t="s">
        <v>16</v>
      </c>
      <c r="C117" s="5" t="str">
        <f>HYPERLINK("http://data.overheid.nl/data/dataset/kustlijnkaart-2011-geplande-suppleties-2011-ten-behoeve-van-de-kustlijnzor-100000","Kustlijnkaart 2011: Geplande suppleties schaal (100000)")</f>
        <v>Kustlijnkaart 2011: Geplande suppleties schaal (100000)</v>
      </c>
      <c r="D117" s="6" t="s">
        <v>17</v>
      </c>
      <c r="E117" s="5" t="s">
        <v>18</v>
      </c>
      <c r="F117" s="6" t="s">
        <v>813</v>
      </c>
      <c r="G117" s="5" t="s">
        <v>98</v>
      </c>
      <c r="H117" s="6" t="s">
        <v>20</v>
      </c>
      <c r="I117" s="5" t="s">
        <v>21</v>
      </c>
      <c r="J117" s="4" t="s">
        <v>22</v>
      </c>
      <c r="K117" s="2" t="s">
        <v>23</v>
      </c>
      <c r="L117" s="6" t="s">
        <v>24</v>
      </c>
      <c r="M117" s="5" t="s">
        <v>25</v>
      </c>
      <c r="N117" s="3" t="s">
        <v>26</v>
      </c>
      <c r="O117" s="5">
        <v>2</v>
      </c>
      <c r="P117" s="3" t="s">
        <v>23</v>
      </c>
      <c r="Q117" s="5"/>
    </row>
    <row r="118" spans="1:17" ht="108.5">
      <c r="A118" s="5">
        <v>113</v>
      </c>
      <c r="B118" s="6" t="s">
        <v>16</v>
      </c>
      <c r="C118" s="5" t="str">
        <f>HYPERLINK("http://data.overheid.nl/data/dataset/kustlijnkaart-2011-berekende-trendwaarden-horizontale-positie-te-toetsen-kustlijn-tkl-ten-opzicht-va","Kustlijnkaart 2011: Berekende trendwaarden schaal (25000)")</f>
        <v>Kustlijnkaart 2011: Berekende trendwaarden schaal (25000)</v>
      </c>
      <c r="D118" s="6" t="s">
        <v>17</v>
      </c>
      <c r="E118" s="5" t="s">
        <v>18</v>
      </c>
      <c r="F118" s="6" t="s">
        <v>813</v>
      </c>
      <c r="G118" s="5" t="s">
        <v>99</v>
      </c>
      <c r="H118" s="6" t="s">
        <v>20</v>
      </c>
      <c r="I118" s="5" t="s">
        <v>21</v>
      </c>
      <c r="J118" s="4" t="s">
        <v>22</v>
      </c>
      <c r="K118" s="2" t="s">
        <v>23</v>
      </c>
      <c r="L118" s="6" t="s">
        <v>24</v>
      </c>
      <c r="M118" s="5" t="s">
        <v>25</v>
      </c>
      <c r="N118" s="3" t="s">
        <v>26</v>
      </c>
      <c r="O118" s="5">
        <v>2</v>
      </c>
      <c r="P118" s="3" t="s">
        <v>23</v>
      </c>
      <c r="Q118" s="5"/>
    </row>
    <row r="119" spans="1:17" ht="108.5">
      <c r="A119" s="5">
        <v>114</v>
      </c>
      <c r="B119" s="6" t="s">
        <v>16</v>
      </c>
      <c r="C119" s="5" t="str">
        <f>HYPERLINK("http://data.overheid.nl/data/dataset/kustlijnkaart-2011-berekende-trendwaarden-horizontale-positie-te-toetsen-kustlijn-tkl-ten-opzicht-02","Kustlijnkaart 2011: Berekende trendwaarden schaal (100000)")</f>
        <v>Kustlijnkaart 2011: Berekende trendwaarden schaal (100000)</v>
      </c>
      <c r="D119" s="6" t="s">
        <v>17</v>
      </c>
      <c r="E119" s="5" t="s">
        <v>18</v>
      </c>
      <c r="F119" s="6" t="s">
        <v>813</v>
      </c>
      <c r="G119" s="5" t="s">
        <v>99</v>
      </c>
      <c r="H119" s="6" t="s">
        <v>20</v>
      </c>
      <c r="I119" s="5" t="s">
        <v>21</v>
      </c>
      <c r="J119" s="4" t="s">
        <v>22</v>
      </c>
      <c r="K119" s="2" t="s">
        <v>23</v>
      </c>
      <c r="L119" s="6" t="s">
        <v>24</v>
      </c>
      <c r="M119" s="5" t="s">
        <v>25</v>
      </c>
      <c r="N119" s="3" t="s">
        <v>26</v>
      </c>
      <c r="O119" s="5">
        <v>2</v>
      </c>
      <c r="P119" s="3" t="s">
        <v>23</v>
      </c>
      <c r="Q119" s="5"/>
    </row>
    <row r="120" spans="1:17" ht="108.5">
      <c r="A120" s="5">
        <v>115</v>
      </c>
      <c r="B120" s="6" t="s">
        <v>16</v>
      </c>
      <c r="C120" s="5" t="str">
        <f>HYPERLINK("http://data.overheid.nl/data/dataset/kustlijnkaart-2011-berekende-trendwaarden-horizontale-positie-te-toetsen-kustlijn-tkl-ten-opzicht-01","Kustlijnkaart 2011: Berekende trendwaarden schaal (50000)")</f>
        <v>Kustlijnkaart 2011: Berekende trendwaarden schaal (50000)</v>
      </c>
      <c r="D120" s="6" t="s">
        <v>17</v>
      </c>
      <c r="E120" s="5" t="s">
        <v>18</v>
      </c>
      <c r="F120" s="6" t="s">
        <v>813</v>
      </c>
      <c r="G120" s="5" t="s">
        <v>99</v>
      </c>
      <c r="H120" s="6" t="s">
        <v>20</v>
      </c>
      <c r="I120" s="5" t="s">
        <v>21</v>
      </c>
      <c r="J120" s="4" t="s">
        <v>22</v>
      </c>
      <c r="K120" s="2" t="s">
        <v>23</v>
      </c>
      <c r="L120" s="6" t="s">
        <v>24</v>
      </c>
      <c r="M120" s="5" t="s">
        <v>25</v>
      </c>
      <c r="N120" s="3" t="s">
        <v>26</v>
      </c>
      <c r="O120" s="5">
        <v>2</v>
      </c>
      <c r="P120" s="3" t="s">
        <v>23</v>
      </c>
      <c r="Q120" s="5"/>
    </row>
    <row r="121" spans="1:17" ht="31">
      <c r="A121" s="5">
        <v>116</v>
      </c>
      <c r="B121" s="6" t="s">
        <v>16</v>
      </c>
      <c r="C121" s="5" t="str">
        <f>HYPERLINK("http://data.overheid.nl/data/dataset/knooppunten-hwn","Knooppunten HWN")</f>
        <v>Knooppunten HWN</v>
      </c>
      <c r="D121" s="6" t="s">
        <v>17</v>
      </c>
      <c r="E121" s="5" t="s">
        <v>18</v>
      </c>
      <c r="F121" s="6" t="s">
        <v>813</v>
      </c>
      <c r="G121" s="5" t="s">
        <v>100</v>
      </c>
      <c r="H121" s="6" t="s">
        <v>28</v>
      </c>
      <c r="I121" s="5" t="s">
        <v>21</v>
      </c>
      <c r="J121" s="4" t="s">
        <v>22</v>
      </c>
      <c r="K121" s="2" t="s">
        <v>23</v>
      </c>
      <c r="L121" s="6" t="s">
        <v>24</v>
      </c>
      <c r="M121" s="5" t="s">
        <v>25</v>
      </c>
      <c r="N121" s="3" t="s">
        <v>26</v>
      </c>
      <c r="O121" s="5">
        <v>2</v>
      </c>
      <c r="P121" s="3" t="s">
        <v>23</v>
      </c>
      <c r="Q121" s="5"/>
    </row>
    <row r="122" spans="1:17" ht="31">
      <c r="A122" s="5">
        <v>117</v>
      </c>
      <c r="B122" s="6" t="s">
        <v>16</v>
      </c>
      <c r="C122" s="5" t="str">
        <f>HYPERLINK("http://data.overheid.nl/data/dataset/vakken-monstercampagne-rotterdam-mcr-2010","Vakken monstercampagne Rotterdam (MCR) 2010")</f>
        <v>Vakken monstercampagne Rotterdam (MCR) 2010</v>
      </c>
      <c r="D122" s="6" t="s">
        <v>17</v>
      </c>
      <c r="E122" s="5" t="s">
        <v>18</v>
      </c>
      <c r="F122" s="6" t="s">
        <v>813</v>
      </c>
      <c r="G122" s="5" t="s">
        <v>101</v>
      </c>
      <c r="H122" s="6" t="s">
        <v>20</v>
      </c>
      <c r="I122" s="5" t="s">
        <v>21</v>
      </c>
      <c r="J122" s="4" t="s">
        <v>22</v>
      </c>
      <c r="K122" s="2" t="s">
        <v>23</v>
      </c>
      <c r="L122" s="6" t="s">
        <v>24</v>
      </c>
      <c r="M122" s="5" t="s">
        <v>25</v>
      </c>
      <c r="N122" s="3" t="s">
        <v>26</v>
      </c>
      <c r="O122" s="5">
        <v>2</v>
      </c>
      <c r="P122" s="3" t="s">
        <v>23</v>
      </c>
      <c r="Q122" s="5"/>
    </row>
    <row r="123" spans="1:17" ht="31">
      <c r="A123" s="5">
        <v>118</v>
      </c>
      <c r="B123" s="6" t="s">
        <v>16</v>
      </c>
      <c r="C123" s="5" t="str">
        <f>HYPERLINK("http://data.overheid.nl/data/dataset/vaargeulgrenzen-voor-de-binnenvaart-in-de-dordtsche-kil","vaargeulgrenzen voor de binnenvaart in de Dordtsche Kil")</f>
        <v>vaargeulgrenzen voor de binnenvaart in de Dordtsche Kil</v>
      </c>
      <c r="D123" s="6" t="s">
        <v>17</v>
      </c>
      <c r="E123" s="5" t="s">
        <v>18</v>
      </c>
      <c r="F123" s="6" t="s">
        <v>813</v>
      </c>
      <c r="G123" s="5" t="s">
        <v>102</v>
      </c>
      <c r="H123" s="6" t="s">
        <v>20</v>
      </c>
      <c r="I123" s="5" t="s">
        <v>21</v>
      </c>
      <c r="J123" s="4" t="s">
        <v>22</v>
      </c>
      <c r="K123" s="2" t="s">
        <v>23</v>
      </c>
      <c r="L123" s="6" t="s">
        <v>24</v>
      </c>
      <c r="M123" s="5" t="s">
        <v>25</v>
      </c>
      <c r="N123" s="3" t="s">
        <v>26</v>
      </c>
      <c r="O123" s="5">
        <v>2</v>
      </c>
      <c r="P123" s="3" t="s">
        <v>23</v>
      </c>
      <c r="Q123" s="5"/>
    </row>
    <row r="124" spans="1:17" ht="46.5">
      <c r="A124" s="5">
        <v>119</v>
      </c>
      <c r="B124" s="6" t="s">
        <v>16</v>
      </c>
      <c r="C124" s="5" t="str">
        <f>HYPERLINK("http://data.overheid.nl/data/dataset/vaargeulgrenzen-met-ngd-indeling-voor-de-binnenvaart-in-de-oude-maas-ten-noorden-van-de-dordtsche-ki","vaargeulgrenzen met NGD-indeling voor de binnenvaart in de Oude Maas ten noorden van de Dordtsche Kil")</f>
        <v>vaargeulgrenzen met NGD-indeling voor de binnenvaart in de Oude Maas ten noorden van de Dordtsche Kil</v>
      </c>
      <c r="D124" s="6" t="s">
        <v>17</v>
      </c>
      <c r="E124" s="5" t="s">
        <v>18</v>
      </c>
      <c r="F124" s="6" t="s">
        <v>813</v>
      </c>
      <c r="G124" s="5" t="s">
        <v>103</v>
      </c>
      <c r="H124" s="6" t="s">
        <v>20</v>
      </c>
      <c r="I124" s="5" t="s">
        <v>21</v>
      </c>
      <c r="J124" s="4" t="s">
        <v>22</v>
      </c>
      <c r="K124" s="2" t="s">
        <v>23</v>
      </c>
      <c r="L124" s="6" t="s">
        <v>24</v>
      </c>
      <c r="M124" s="5" t="s">
        <v>25</v>
      </c>
      <c r="N124" s="3" t="s">
        <v>26</v>
      </c>
      <c r="O124" s="5">
        <v>2</v>
      </c>
      <c r="P124" s="3" t="s">
        <v>23</v>
      </c>
      <c r="Q124" s="5"/>
    </row>
    <row r="125" spans="1:17" ht="46.5">
      <c r="A125" s="5">
        <v>120</v>
      </c>
      <c r="B125" s="6" t="s">
        <v>16</v>
      </c>
      <c r="C125" s="5" t="str">
        <f>HYPERLINK("http://data.overheid.nl/data/dataset/vaargeulgrenzen-in-de-nieuwe-merwede-met-onderverdeling-naar-ngd","vaargeulgrenzen in de Nieuwe Merwede met onderverdeling naar NGD")</f>
        <v>vaargeulgrenzen in de Nieuwe Merwede met onderverdeling naar NGD</v>
      </c>
      <c r="D125" s="6" t="s">
        <v>17</v>
      </c>
      <c r="E125" s="5" t="s">
        <v>18</v>
      </c>
      <c r="F125" s="6" t="s">
        <v>813</v>
      </c>
      <c r="G125" s="5" t="s">
        <v>104</v>
      </c>
      <c r="H125" s="6" t="s">
        <v>20</v>
      </c>
      <c r="I125" s="5" t="s">
        <v>21</v>
      </c>
      <c r="J125" s="4" t="s">
        <v>22</v>
      </c>
      <c r="K125" s="2" t="s">
        <v>23</v>
      </c>
      <c r="L125" s="6" t="s">
        <v>24</v>
      </c>
      <c r="M125" s="5" t="s">
        <v>25</v>
      </c>
      <c r="N125" s="3" t="s">
        <v>26</v>
      </c>
      <c r="O125" s="5">
        <v>2</v>
      </c>
      <c r="P125" s="3" t="s">
        <v>23</v>
      </c>
      <c r="Q125" s="5"/>
    </row>
    <row r="126" spans="1:17" ht="46.5">
      <c r="A126" s="5">
        <v>121</v>
      </c>
      <c r="B126" s="6" t="s">
        <v>16</v>
      </c>
      <c r="C126" s="5" t="str">
        <f>HYPERLINK("http://data.overheid.nl/data/dataset/vaargeulgrenzen-in-de-boven-merwede-met-onderverdeling-naar-ngd","vaargeulgrenzen in de Boven Merwede met onderverdeling naar NGD")</f>
        <v>vaargeulgrenzen in de Boven Merwede met onderverdeling naar NGD</v>
      </c>
      <c r="D126" s="6" t="s">
        <v>17</v>
      </c>
      <c r="E126" s="5" t="s">
        <v>18</v>
      </c>
      <c r="F126" s="6" t="s">
        <v>813</v>
      </c>
      <c r="G126" s="5" t="s">
        <v>105</v>
      </c>
      <c r="H126" s="6" t="s">
        <v>20</v>
      </c>
      <c r="I126" s="5" t="s">
        <v>21</v>
      </c>
      <c r="J126" s="4" t="s">
        <v>22</v>
      </c>
      <c r="K126" s="2" t="s">
        <v>23</v>
      </c>
      <c r="L126" s="6" t="s">
        <v>24</v>
      </c>
      <c r="M126" s="5" t="s">
        <v>25</v>
      </c>
      <c r="N126" s="3" t="s">
        <v>26</v>
      </c>
      <c r="O126" s="5">
        <v>2</v>
      </c>
      <c r="P126" s="3" t="s">
        <v>23</v>
      </c>
      <c r="Q126" s="5"/>
    </row>
    <row r="127" spans="1:17" ht="46.5">
      <c r="A127" s="5">
        <v>122</v>
      </c>
      <c r="B127" s="6" t="s">
        <v>16</v>
      </c>
      <c r="C127" s="5" t="str">
        <f>HYPERLINK("http://data.overheid.nl/data/dataset/vaargeulgrenzen-in-de-beneden-merwede-met-onderverdeling-naar-ngd-en-randvakken","vaargeulgrenzen in de Beneden Merwede met onderverdeling naar NGD en randvakken")</f>
        <v>vaargeulgrenzen in de Beneden Merwede met onderverdeling naar NGD en randvakken</v>
      </c>
      <c r="D127" s="6" t="s">
        <v>17</v>
      </c>
      <c r="E127" s="5" t="s">
        <v>18</v>
      </c>
      <c r="F127" s="6" t="s">
        <v>813</v>
      </c>
      <c r="G127" s="5" t="s">
        <v>106</v>
      </c>
      <c r="H127" s="6" t="s">
        <v>20</v>
      </c>
      <c r="I127" s="5" t="s">
        <v>21</v>
      </c>
      <c r="J127" s="4" t="s">
        <v>22</v>
      </c>
      <c r="K127" s="2" t="s">
        <v>23</v>
      </c>
      <c r="L127" s="6" t="s">
        <v>24</v>
      </c>
      <c r="M127" s="5" t="s">
        <v>25</v>
      </c>
      <c r="N127" s="3" t="s">
        <v>26</v>
      </c>
      <c r="O127" s="5">
        <v>2</v>
      </c>
      <c r="P127" s="3" t="s">
        <v>23</v>
      </c>
      <c r="Q127" s="5"/>
    </row>
    <row r="128" spans="1:17" ht="155">
      <c r="A128" s="5">
        <v>123</v>
      </c>
      <c r="B128" s="6" t="s">
        <v>16</v>
      </c>
      <c r="C128" s="5" t="str">
        <f>HYPERLINK("http://data.overheid.nl/data/dataset/nationaal-wegen-bestand-wegen-wegvakken-2010","Nationaal Wegen Bestand Wegen wegvakken 2010")</f>
        <v>Nationaal Wegen Bestand Wegen wegvakken 2010</v>
      </c>
      <c r="D128" s="6" t="s">
        <v>17</v>
      </c>
      <c r="E128" s="5" t="s">
        <v>18</v>
      </c>
      <c r="F128" s="6" t="s">
        <v>813</v>
      </c>
      <c r="G128" s="5" t="s">
        <v>94</v>
      </c>
      <c r="H128" s="6" t="s">
        <v>20</v>
      </c>
      <c r="I128" s="5" t="s">
        <v>21</v>
      </c>
      <c r="J128" s="4" t="s">
        <v>22</v>
      </c>
      <c r="K128" s="2" t="s">
        <v>23</v>
      </c>
      <c r="L128" s="6" t="s">
        <v>24</v>
      </c>
      <c r="M128" s="5" t="s">
        <v>25</v>
      </c>
      <c r="N128" s="3" t="s">
        <v>26</v>
      </c>
      <c r="O128" s="5">
        <v>2</v>
      </c>
      <c r="P128" s="3" t="s">
        <v>23</v>
      </c>
      <c r="Q128" s="5"/>
    </row>
    <row r="129" spans="1:17" ht="155">
      <c r="A129" s="5">
        <v>124</v>
      </c>
      <c r="B129" s="6" t="s">
        <v>16</v>
      </c>
      <c r="C129" s="5" t="str">
        <f>HYPERLINK("http://data.overheid.nl/data/dataset/nationaal-wegen-bestand-wegen-hectopunten-2010","Nationaal Wegen Bestand Wegen hectopunten 2010")</f>
        <v>Nationaal Wegen Bestand Wegen hectopunten 2010</v>
      </c>
      <c r="D129" s="6" t="s">
        <v>17</v>
      </c>
      <c r="E129" s="5" t="s">
        <v>18</v>
      </c>
      <c r="F129" s="6" t="s">
        <v>813</v>
      </c>
      <c r="G129" s="5" t="s">
        <v>95</v>
      </c>
      <c r="H129" s="6" t="s">
        <v>20</v>
      </c>
      <c r="I129" s="5" t="s">
        <v>21</v>
      </c>
      <c r="J129" s="4" t="s">
        <v>22</v>
      </c>
      <c r="K129" s="2" t="s">
        <v>23</v>
      </c>
      <c r="L129" s="6" t="s">
        <v>24</v>
      </c>
      <c r="M129" s="5" t="s">
        <v>25</v>
      </c>
      <c r="N129" s="3" t="s">
        <v>26</v>
      </c>
      <c r="O129" s="5">
        <v>2</v>
      </c>
      <c r="P129" s="3" t="s">
        <v>23</v>
      </c>
      <c r="Q129" s="5"/>
    </row>
    <row r="130" spans="1:17" ht="93">
      <c r="A130" s="5">
        <v>125</v>
      </c>
      <c r="B130" s="6" t="s">
        <v>16</v>
      </c>
      <c r="C130" s="5" t="str">
        <f>HYPERLINK("http://data.overheid.nl/data/dataset/kustlijnkaartenboek-2010-af-te-beelden-trendwaarden-schaal-50000","Kustlijnkaartenboek 2010: Af te beelden trendwaarden schaal (50000)")</f>
        <v>Kustlijnkaartenboek 2010: Af te beelden trendwaarden schaal (50000)</v>
      </c>
      <c r="D130" s="6" t="s">
        <v>17</v>
      </c>
      <c r="E130" s="5" t="s">
        <v>18</v>
      </c>
      <c r="F130" s="6" t="s">
        <v>813</v>
      </c>
      <c r="G130" s="5" t="s">
        <v>107</v>
      </c>
      <c r="H130" s="6" t="s">
        <v>20</v>
      </c>
      <c r="I130" s="5" t="s">
        <v>21</v>
      </c>
      <c r="J130" s="4" t="s">
        <v>22</v>
      </c>
      <c r="K130" s="2" t="s">
        <v>23</v>
      </c>
      <c r="L130" s="6" t="s">
        <v>24</v>
      </c>
      <c r="M130" s="5" t="s">
        <v>25</v>
      </c>
      <c r="N130" s="3" t="s">
        <v>26</v>
      </c>
      <c r="O130" s="5">
        <v>2</v>
      </c>
      <c r="P130" s="3" t="s">
        <v>23</v>
      </c>
      <c r="Q130" s="5"/>
    </row>
    <row r="131" spans="1:17" ht="93">
      <c r="A131" s="5">
        <v>126</v>
      </c>
      <c r="B131" s="6" t="s">
        <v>16</v>
      </c>
      <c r="C131" s="5" t="str">
        <f>HYPERLINK("http://data.overheid.nl/data/dataset/kustlijnkaartenboek-2010-af-te-beelden-trendwaarden-schaal-25000","Kustlijnkaartenboek 2010: Af te beelden trendwaarden schaal (25000)")</f>
        <v>Kustlijnkaartenboek 2010: Af te beelden trendwaarden schaal (25000)</v>
      </c>
      <c r="D131" s="6" t="s">
        <v>17</v>
      </c>
      <c r="E131" s="5" t="s">
        <v>18</v>
      </c>
      <c r="F131" s="6" t="s">
        <v>813</v>
      </c>
      <c r="G131" s="5" t="s">
        <v>107</v>
      </c>
      <c r="H131" s="6" t="s">
        <v>20</v>
      </c>
      <c r="I131" s="5" t="s">
        <v>21</v>
      </c>
      <c r="J131" s="4" t="s">
        <v>22</v>
      </c>
      <c r="K131" s="2" t="s">
        <v>23</v>
      </c>
      <c r="L131" s="6" t="s">
        <v>24</v>
      </c>
      <c r="M131" s="5" t="s">
        <v>25</v>
      </c>
      <c r="N131" s="3" t="s">
        <v>26</v>
      </c>
      <c r="O131" s="5">
        <v>2</v>
      </c>
      <c r="P131" s="3" t="s">
        <v>23</v>
      </c>
      <c r="Q131" s="5"/>
    </row>
    <row r="132" spans="1:17" ht="93">
      <c r="A132" s="5">
        <v>127</v>
      </c>
      <c r="B132" s="6" t="s">
        <v>16</v>
      </c>
      <c r="C132" s="5" t="str">
        <f>HYPERLINK("http://data.overheid.nl/data/dataset/kustlijnkaartenboek-2010-af-te-beelden-trendwaarden-schaal-100000","Kustlijnkaartenboek 2010: Af te beelden trendwaarden schaal (100000)")</f>
        <v>Kustlijnkaartenboek 2010: Af te beelden trendwaarden schaal (100000)</v>
      </c>
      <c r="D132" s="6" t="s">
        <v>17</v>
      </c>
      <c r="E132" s="5" t="s">
        <v>18</v>
      </c>
      <c r="F132" s="6" t="s">
        <v>813</v>
      </c>
      <c r="G132" s="5" t="s">
        <v>107</v>
      </c>
      <c r="H132" s="6" t="s">
        <v>20</v>
      </c>
      <c r="I132" s="5" t="s">
        <v>21</v>
      </c>
      <c r="J132" s="4" t="s">
        <v>22</v>
      </c>
      <c r="K132" s="2" t="s">
        <v>23</v>
      </c>
      <c r="L132" s="6" t="s">
        <v>24</v>
      </c>
      <c r="M132" s="5" t="s">
        <v>25</v>
      </c>
      <c r="N132" s="3" t="s">
        <v>26</v>
      </c>
      <c r="O132" s="5">
        <v>2</v>
      </c>
      <c r="P132" s="3" t="s">
        <v>23</v>
      </c>
      <c r="Q132" s="5"/>
    </row>
    <row r="133" spans="1:17" ht="62">
      <c r="A133" s="5">
        <v>128</v>
      </c>
      <c r="B133" s="6" t="s">
        <v>16</v>
      </c>
      <c r="C133" s="5" t="str">
        <f>HYPERLINK("http://data.overheid.nl/data/dataset/kustlijnkaart-2010-geplande-suppleties-schaal-50000","Kustlijnkaart 2010: Geplande suppleties schaal (50000)")</f>
        <v>Kustlijnkaart 2010: Geplande suppleties schaal (50000)</v>
      </c>
      <c r="D133" s="6" t="s">
        <v>17</v>
      </c>
      <c r="E133" s="5" t="s">
        <v>18</v>
      </c>
      <c r="F133" s="6" t="s">
        <v>813</v>
      </c>
      <c r="G133" s="5" t="s">
        <v>108</v>
      </c>
      <c r="H133" s="6" t="s">
        <v>20</v>
      </c>
      <c r="I133" s="5" t="s">
        <v>21</v>
      </c>
      <c r="J133" s="4" t="s">
        <v>22</v>
      </c>
      <c r="K133" s="2" t="s">
        <v>23</v>
      </c>
      <c r="L133" s="6" t="s">
        <v>24</v>
      </c>
      <c r="M133" s="5" t="s">
        <v>25</v>
      </c>
      <c r="N133" s="3" t="s">
        <v>26</v>
      </c>
      <c r="O133" s="5">
        <v>2</v>
      </c>
      <c r="P133" s="3" t="s">
        <v>23</v>
      </c>
      <c r="Q133" s="5"/>
    </row>
    <row r="134" spans="1:17" ht="62">
      <c r="A134" s="5">
        <v>129</v>
      </c>
      <c r="B134" s="6" t="s">
        <v>16</v>
      </c>
      <c r="C134" s="5" t="str">
        <f>HYPERLINK("http://data.overheid.nl/data/dataset/kustlijnkaart-2010-geplande-suppleties-schaal-25000","Kustlijnkaart 2010: Geplande suppleties schaal (25000)")</f>
        <v>Kustlijnkaart 2010: Geplande suppleties schaal (25000)</v>
      </c>
      <c r="D134" s="6" t="s">
        <v>17</v>
      </c>
      <c r="E134" s="5" t="s">
        <v>18</v>
      </c>
      <c r="F134" s="6" t="s">
        <v>813</v>
      </c>
      <c r="G134" s="5" t="s">
        <v>108</v>
      </c>
      <c r="H134" s="6" t="s">
        <v>20</v>
      </c>
      <c r="I134" s="5" t="s">
        <v>21</v>
      </c>
      <c r="J134" s="4" t="s">
        <v>22</v>
      </c>
      <c r="K134" s="2" t="s">
        <v>23</v>
      </c>
      <c r="L134" s="6" t="s">
        <v>24</v>
      </c>
      <c r="M134" s="5" t="s">
        <v>25</v>
      </c>
      <c r="N134" s="3" t="s">
        <v>26</v>
      </c>
      <c r="O134" s="5">
        <v>2</v>
      </c>
      <c r="P134" s="3" t="s">
        <v>23</v>
      </c>
      <c r="Q134" s="5"/>
    </row>
    <row r="135" spans="1:17" ht="62">
      <c r="A135" s="5">
        <v>130</v>
      </c>
      <c r="B135" s="6" t="s">
        <v>16</v>
      </c>
      <c r="C135" s="5" t="str">
        <f>HYPERLINK("http://data.overheid.nl/data/dataset/kustlijnkaart-2010-geplande-suppleties-schaal-100000","Kustlijnkaart 2010: Geplande suppleties schaal (100000)")</f>
        <v>Kustlijnkaart 2010: Geplande suppleties schaal (100000)</v>
      </c>
      <c r="D135" s="6" t="s">
        <v>17</v>
      </c>
      <c r="E135" s="5" t="s">
        <v>18</v>
      </c>
      <c r="F135" s="6" t="s">
        <v>813</v>
      </c>
      <c r="G135" s="5" t="s">
        <v>108</v>
      </c>
      <c r="H135" s="6" t="s">
        <v>20</v>
      </c>
      <c r="I135" s="5" t="s">
        <v>21</v>
      </c>
      <c r="J135" s="4" t="s">
        <v>22</v>
      </c>
      <c r="K135" s="2" t="s">
        <v>23</v>
      </c>
      <c r="L135" s="6" t="s">
        <v>24</v>
      </c>
      <c r="M135" s="5" t="s">
        <v>25</v>
      </c>
      <c r="N135" s="3" t="s">
        <v>26</v>
      </c>
      <c r="O135" s="5">
        <v>2</v>
      </c>
      <c r="P135" s="3" t="s">
        <v>23</v>
      </c>
      <c r="Q135" s="5"/>
    </row>
    <row r="136" spans="1:17" ht="108.5">
      <c r="A136" s="5">
        <v>131</v>
      </c>
      <c r="B136" s="6" t="s">
        <v>16</v>
      </c>
      <c r="C136" s="5" t="str">
        <f>HYPERLINK("http://data.overheid.nl/data/dataset/kustlijnkaart-2010-berekende-trendwaarden-schaal-50000","Kustlijnkaart 2010: Berekende trendwaarden schaal (50000)")</f>
        <v>Kustlijnkaart 2010: Berekende trendwaarden schaal (50000)</v>
      </c>
      <c r="D136" s="6" t="s">
        <v>17</v>
      </c>
      <c r="E136" s="5" t="s">
        <v>18</v>
      </c>
      <c r="F136" s="6" t="s">
        <v>813</v>
      </c>
      <c r="G136" s="5" t="s">
        <v>109</v>
      </c>
      <c r="H136" s="6" t="s">
        <v>20</v>
      </c>
      <c r="I136" s="5" t="s">
        <v>21</v>
      </c>
      <c r="J136" s="4" t="s">
        <v>22</v>
      </c>
      <c r="K136" s="2" t="s">
        <v>23</v>
      </c>
      <c r="L136" s="6" t="s">
        <v>24</v>
      </c>
      <c r="M136" s="5" t="s">
        <v>25</v>
      </c>
      <c r="N136" s="3" t="s">
        <v>26</v>
      </c>
      <c r="O136" s="5">
        <v>2</v>
      </c>
      <c r="P136" s="3" t="s">
        <v>23</v>
      </c>
      <c r="Q136" s="5"/>
    </row>
    <row r="137" spans="1:17" ht="108.5">
      <c r="A137" s="5">
        <v>132</v>
      </c>
      <c r="B137" s="6" t="s">
        <v>16</v>
      </c>
      <c r="C137" s="5" t="str">
        <f>HYPERLINK("http://data.overheid.nl/data/dataset/kustlijnkaart-2010-berekende-trendwaarden-schaal-25000","Kustlijnkaart 2010: Berekende trendwaarden schaal (25000)")</f>
        <v>Kustlijnkaart 2010: Berekende trendwaarden schaal (25000)</v>
      </c>
      <c r="D137" s="6" t="s">
        <v>17</v>
      </c>
      <c r="E137" s="5" t="s">
        <v>18</v>
      </c>
      <c r="F137" s="6" t="s">
        <v>813</v>
      </c>
      <c r="G137" s="5" t="s">
        <v>109</v>
      </c>
      <c r="H137" s="6" t="s">
        <v>20</v>
      </c>
      <c r="I137" s="5" t="s">
        <v>21</v>
      </c>
      <c r="J137" s="4" t="s">
        <v>22</v>
      </c>
      <c r="K137" s="2" t="s">
        <v>23</v>
      </c>
      <c r="L137" s="6" t="s">
        <v>24</v>
      </c>
      <c r="M137" s="5" t="s">
        <v>25</v>
      </c>
      <c r="N137" s="3" t="s">
        <v>26</v>
      </c>
      <c r="O137" s="5">
        <v>2</v>
      </c>
      <c r="P137" s="3" t="s">
        <v>23</v>
      </c>
      <c r="Q137" s="5"/>
    </row>
    <row r="138" spans="1:17" ht="108.5">
      <c r="A138" s="5">
        <v>133</v>
      </c>
      <c r="B138" s="6" t="s">
        <v>16</v>
      </c>
      <c r="C138" s="5" t="str">
        <f>HYPERLINK("http://data.overheid.nl/data/dataset/kustlijnkaart-2010-berekende-trendwaarden-schaal-100000","Kustlijnkaart 2010: Berekende trendwaarden schaal (100000)")</f>
        <v>Kustlijnkaart 2010: Berekende trendwaarden schaal (100000)</v>
      </c>
      <c r="D138" s="6" t="s">
        <v>17</v>
      </c>
      <c r="E138" s="5" t="s">
        <v>18</v>
      </c>
      <c r="F138" s="6" t="s">
        <v>813</v>
      </c>
      <c r="G138" s="5" t="s">
        <v>109</v>
      </c>
      <c r="H138" s="6" t="s">
        <v>20</v>
      </c>
      <c r="I138" s="5" t="s">
        <v>21</v>
      </c>
      <c r="J138" s="4" t="s">
        <v>22</v>
      </c>
      <c r="K138" s="2" t="s">
        <v>23</v>
      </c>
      <c r="L138" s="6" t="s">
        <v>24</v>
      </c>
      <c r="M138" s="5" t="s">
        <v>25</v>
      </c>
      <c r="N138" s="3" t="s">
        <v>26</v>
      </c>
      <c r="O138" s="5">
        <v>2</v>
      </c>
      <c r="P138" s="3" t="s">
        <v>23</v>
      </c>
      <c r="Q138" s="5"/>
    </row>
    <row r="139" spans="1:17" ht="155">
      <c r="A139" s="5">
        <v>134</v>
      </c>
      <c r="B139" s="6" t="s">
        <v>16</v>
      </c>
      <c r="C139" s="5" t="str">
        <f>HYPERLINK("http://data.overheid.nl/data/dataset/ecotopen-vlakken-eerste-cyclus","Ecotopen vlakken eerste cyclus")</f>
        <v>Ecotopen vlakken eerste cyclus</v>
      </c>
      <c r="D139" s="6" t="s">
        <v>17</v>
      </c>
      <c r="E139" s="5" t="s">
        <v>18</v>
      </c>
      <c r="F139" s="6" t="s">
        <v>813</v>
      </c>
      <c r="G139" s="5" t="s">
        <v>110</v>
      </c>
      <c r="H139" s="6" t="s">
        <v>20</v>
      </c>
      <c r="I139" s="5" t="s">
        <v>21</v>
      </c>
      <c r="J139" s="4" t="s">
        <v>22</v>
      </c>
      <c r="K139" s="2" t="s">
        <v>23</v>
      </c>
      <c r="L139" s="6" t="s">
        <v>24</v>
      </c>
      <c r="M139" s="5" t="s">
        <v>25</v>
      </c>
      <c r="N139" s="3" t="s">
        <v>26</v>
      </c>
      <c r="O139" s="5">
        <v>4</v>
      </c>
      <c r="P139" s="3" t="s">
        <v>23</v>
      </c>
      <c r="Q139" s="5"/>
    </row>
    <row r="140" spans="1:17" ht="31">
      <c r="A140" s="5">
        <v>135</v>
      </c>
      <c r="B140" s="6" t="s">
        <v>16</v>
      </c>
      <c r="C140" s="5" t="str">
        <f>HYPERLINK("http://data.overheid.nl/data/dataset/baggervakken-monstercampagne-rotterdam-2011","Baggervakken monstercampagne Rotterdam 2011")</f>
        <v>Baggervakken monstercampagne Rotterdam 2011</v>
      </c>
      <c r="D140" s="6" t="s">
        <v>17</v>
      </c>
      <c r="E140" s="5" t="s">
        <v>18</v>
      </c>
      <c r="F140" s="6" t="s">
        <v>813</v>
      </c>
      <c r="G140" s="5" t="s">
        <v>111</v>
      </c>
      <c r="H140" s="6" t="s">
        <v>20</v>
      </c>
      <c r="I140" s="5" t="s">
        <v>21</v>
      </c>
      <c r="J140" s="4" t="s">
        <v>22</v>
      </c>
      <c r="K140" s="2" t="s">
        <v>23</v>
      </c>
      <c r="L140" s="6" t="s">
        <v>24</v>
      </c>
      <c r="M140" s="5" t="s">
        <v>25</v>
      </c>
      <c r="N140" s="3" t="s">
        <v>26</v>
      </c>
      <c r="O140" s="5">
        <v>2</v>
      </c>
      <c r="P140" s="3" t="s">
        <v>23</v>
      </c>
      <c r="Q140" s="5"/>
    </row>
    <row r="141" spans="1:17" ht="62">
      <c r="A141" s="5">
        <v>136</v>
      </c>
      <c r="B141" s="6" t="s">
        <v>16</v>
      </c>
      <c r="C141" s="5" t="str">
        <f>HYPERLINK("http://data.overheid.nl/data/dataset/rws-dijkringgebieden","RWS dijkringgebieden")</f>
        <v>RWS dijkringgebieden</v>
      </c>
      <c r="D141" s="6" t="s">
        <v>17</v>
      </c>
      <c r="E141" s="5" t="s">
        <v>18</v>
      </c>
      <c r="F141" s="6" t="s">
        <v>813</v>
      </c>
      <c r="G141" s="5" t="s">
        <v>112</v>
      </c>
      <c r="H141" s="6" t="s">
        <v>20</v>
      </c>
      <c r="I141" s="5" t="s">
        <v>21</v>
      </c>
      <c r="J141" s="4" t="s">
        <v>22</v>
      </c>
      <c r="K141" s="2" t="s">
        <v>23</v>
      </c>
      <c r="L141" s="6" t="s">
        <v>24</v>
      </c>
      <c r="M141" s="5" t="s">
        <v>25</v>
      </c>
      <c r="N141" s="3" t="s">
        <v>26</v>
      </c>
      <c r="O141" s="5">
        <v>4</v>
      </c>
      <c r="P141" s="3" t="s">
        <v>23</v>
      </c>
      <c r="Q141" s="5"/>
    </row>
    <row r="142" spans="1:17" ht="31">
      <c r="A142" s="5">
        <v>137</v>
      </c>
      <c r="B142" s="6" t="s">
        <v>16</v>
      </c>
      <c r="C142" s="5" t="str">
        <f>HYPERLINK("http://data.overheid.nl/data/dataset/provincie-hoofdsteden-versie-2","Provincie hoofdsteden versie 2")</f>
        <v>Provincie hoofdsteden versie 2</v>
      </c>
      <c r="D142" s="6" t="s">
        <v>17</v>
      </c>
      <c r="E142" s="5" t="s">
        <v>18</v>
      </c>
      <c r="F142" s="6" t="s">
        <v>813</v>
      </c>
      <c r="G142" s="5" t="s">
        <v>113</v>
      </c>
      <c r="H142" s="6" t="s">
        <v>20</v>
      </c>
      <c r="I142" s="5" t="s">
        <v>21</v>
      </c>
      <c r="J142" s="4" t="s">
        <v>22</v>
      </c>
      <c r="K142" s="2" t="s">
        <v>23</v>
      </c>
      <c r="L142" s="6" t="s">
        <v>24</v>
      </c>
      <c r="M142" s="5" t="s">
        <v>25</v>
      </c>
      <c r="N142" s="3" t="s">
        <v>26</v>
      </c>
      <c r="O142" s="5">
        <v>4</v>
      </c>
      <c r="P142" s="3" t="s">
        <v>23</v>
      </c>
      <c r="Q142" s="5"/>
    </row>
    <row r="143" spans="1:17" ht="155">
      <c r="A143" s="5">
        <v>138</v>
      </c>
      <c r="B143" s="6" t="s">
        <v>16</v>
      </c>
      <c r="C143" s="5" t="str">
        <f>HYPERLINK("http://data.overheid.nl/data/dataset/nationaal-wegen-bestand-wegen-wegvakken-2009","Nationaal Wegen Bestand Wegen wegvakken 2009")</f>
        <v>Nationaal Wegen Bestand Wegen wegvakken 2009</v>
      </c>
      <c r="D143" s="6" t="s">
        <v>17</v>
      </c>
      <c r="E143" s="5" t="s">
        <v>18</v>
      </c>
      <c r="F143" s="6" t="s">
        <v>813</v>
      </c>
      <c r="G143" s="5" t="s">
        <v>114</v>
      </c>
      <c r="H143" s="6" t="s">
        <v>20</v>
      </c>
      <c r="I143" s="5" t="s">
        <v>21</v>
      </c>
      <c r="J143" s="4" t="s">
        <v>22</v>
      </c>
      <c r="K143" s="2" t="s">
        <v>23</v>
      </c>
      <c r="L143" s="6" t="s">
        <v>24</v>
      </c>
      <c r="M143" s="5" t="s">
        <v>25</v>
      </c>
      <c r="N143" s="3" t="s">
        <v>26</v>
      </c>
      <c r="O143" s="5">
        <v>2</v>
      </c>
      <c r="P143" s="3" t="s">
        <v>23</v>
      </c>
      <c r="Q143" s="5"/>
    </row>
    <row r="144" spans="1:17" ht="155">
      <c r="A144" s="5">
        <v>139</v>
      </c>
      <c r="B144" s="6" t="s">
        <v>16</v>
      </c>
      <c r="C144" s="5" t="str">
        <f>HYPERLINK("http://data.overheid.nl/data/dataset/nationaal-wegen-bestand-wegen-wegvakken-2008","Nationaal Wegen Bestand Wegen wegvakken 2008")</f>
        <v>Nationaal Wegen Bestand Wegen wegvakken 2008</v>
      </c>
      <c r="D144" s="6" t="s">
        <v>17</v>
      </c>
      <c r="E144" s="5" t="s">
        <v>18</v>
      </c>
      <c r="F144" s="6" t="s">
        <v>813</v>
      </c>
      <c r="G144" s="5" t="s">
        <v>114</v>
      </c>
      <c r="H144" s="6" t="s">
        <v>20</v>
      </c>
      <c r="I144" s="5" t="s">
        <v>21</v>
      </c>
      <c r="J144" s="4" t="s">
        <v>22</v>
      </c>
      <c r="K144" s="2" t="s">
        <v>23</v>
      </c>
      <c r="L144" s="6" t="s">
        <v>24</v>
      </c>
      <c r="M144" s="5" t="s">
        <v>25</v>
      </c>
      <c r="N144" s="3" t="s">
        <v>26</v>
      </c>
      <c r="O144" s="5">
        <v>2</v>
      </c>
      <c r="P144" s="3" t="s">
        <v>23</v>
      </c>
      <c r="Q144" s="5"/>
    </row>
    <row r="145" spans="1:17" ht="155">
      <c r="A145" s="5">
        <v>140</v>
      </c>
      <c r="B145" s="6" t="s">
        <v>16</v>
      </c>
      <c r="C145" s="5" t="str">
        <f>HYPERLINK("http://data.overheid.nl/data/dataset/nationaal-wegen-bestand-wegen-hectopunten-2009","Nationaal Wegen Bestand Wegen hectopunten 2009")</f>
        <v>Nationaal Wegen Bestand Wegen hectopunten 2009</v>
      </c>
      <c r="D145" s="6" t="s">
        <v>17</v>
      </c>
      <c r="E145" s="5" t="s">
        <v>18</v>
      </c>
      <c r="F145" s="6" t="s">
        <v>813</v>
      </c>
      <c r="G145" s="5" t="s">
        <v>95</v>
      </c>
      <c r="H145" s="6" t="s">
        <v>20</v>
      </c>
      <c r="I145" s="5" t="s">
        <v>21</v>
      </c>
      <c r="J145" s="4" t="s">
        <v>22</v>
      </c>
      <c r="K145" s="2" t="s">
        <v>23</v>
      </c>
      <c r="L145" s="6" t="s">
        <v>24</v>
      </c>
      <c r="M145" s="5" t="s">
        <v>25</v>
      </c>
      <c r="N145" s="3" t="s">
        <v>26</v>
      </c>
      <c r="O145" s="5">
        <v>2</v>
      </c>
      <c r="P145" s="3" t="s">
        <v>23</v>
      </c>
      <c r="Q145" s="5"/>
    </row>
    <row r="146" spans="1:17" ht="155">
      <c r="A146" s="5">
        <v>141</v>
      </c>
      <c r="B146" s="6" t="s">
        <v>16</v>
      </c>
      <c r="C146" s="5" t="str">
        <f>HYPERLINK("http://data.overheid.nl/data/dataset/nationaal-wegen-bestand-wegen-hectopunten-2008","Nationaal Wegen Bestand Wegen hectopunten 2008")</f>
        <v>Nationaal Wegen Bestand Wegen hectopunten 2008</v>
      </c>
      <c r="D146" s="6" t="s">
        <v>17</v>
      </c>
      <c r="E146" s="5" t="s">
        <v>18</v>
      </c>
      <c r="F146" s="6" t="s">
        <v>813</v>
      </c>
      <c r="G146" s="5" t="s">
        <v>95</v>
      </c>
      <c r="H146" s="6" t="s">
        <v>20</v>
      </c>
      <c r="I146" s="5" t="s">
        <v>21</v>
      </c>
      <c r="J146" s="4" t="s">
        <v>22</v>
      </c>
      <c r="K146" s="2" t="s">
        <v>23</v>
      </c>
      <c r="L146" s="6" t="s">
        <v>24</v>
      </c>
      <c r="M146" s="5" t="s">
        <v>25</v>
      </c>
      <c r="N146" s="3" t="s">
        <v>26</v>
      </c>
      <c r="O146" s="5">
        <v>2</v>
      </c>
      <c r="P146" s="3" t="s">
        <v>23</v>
      </c>
      <c r="Q146" s="5"/>
    </row>
    <row r="147" spans="1:17" ht="93">
      <c r="A147" s="5">
        <v>142</v>
      </c>
      <c r="B147" s="6" t="s">
        <v>16</v>
      </c>
      <c r="C147" s="5" t="str">
        <f>HYPERLINK("http://data.overheid.nl/data/dataset/kustlijnkaartenboek-2009-af-te-beelden-trendwaarden-schaal-50000","Kustlijnkaartenboek 2009: Af te beelden trendwaarden schaal (50000)")</f>
        <v>Kustlijnkaartenboek 2009: Af te beelden trendwaarden schaal (50000)</v>
      </c>
      <c r="D147" s="6" t="s">
        <v>17</v>
      </c>
      <c r="E147" s="5" t="s">
        <v>18</v>
      </c>
      <c r="F147" s="6" t="s">
        <v>813</v>
      </c>
      <c r="G147" s="5" t="s">
        <v>115</v>
      </c>
      <c r="H147" s="6" t="s">
        <v>20</v>
      </c>
      <c r="I147" s="5" t="s">
        <v>21</v>
      </c>
      <c r="J147" s="4" t="s">
        <v>22</v>
      </c>
      <c r="K147" s="2" t="s">
        <v>23</v>
      </c>
      <c r="L147" s="6" t="s">
        <v>24</v>
      </c>
      <c r="M147" s="5" t="s">
        <v>25</v>
      </c>
      <c r="N147" s="3" t="s">
        <v>26</v>
      </c>
      <c r="O147" s="5">
        <v>2</v>
      </c>
      <c r="P147" s="3" t="s">
        <v>23</v>
      </c>
      <c r="Q147" s="5"/>
    </row>
    <row r="148" spans="1:17" ht="93">
      <c r="A148" s="5">
        <v>143</v>
      </c>
      <c r="B148" s="6" t="s">
        <v>16</v>
      </c>
      <c r="C148" s="5" t="str">
        <f>HYPERLINK("http://data.overheid.nl/data/dataset/kustlijnkaartenboek-2009-af-te-beelden-trendwaarden-schaal-25000","Kustlijnkaartenboek 2009: Af te beelden trendwaarden schaal (25000)")</f>
        <v>Kustlijnkaartenboek 2009: Af te beelden trendwaarden schaal (25000)</v>
      </c>
      <c r="D148" s="6" t="s">
        <v>17</v>
      </c>
      <c r="E148" s="5" t="s">
        <v>18</v>
      </c>
      <c r="F148" s="6" t="s">
        <v>813</v>
      </c>
      <c r="G148" s="5" t="s">
        <v>115</v>
      </c>
      <c r="H148" s="6" t="s">
        <v>20</v>
      </c>
      <c r="I148" s="5" t="s">
        <v>21</v>
      </c>
      <c r="J148" s="4" t="s">
        <v>22</v>
      </c>
      <c r="K148" s="2" t="s">
        <v>23</v>
      </c>
      <c r="L148" s="6" t="s">
        <v>24</v>
      </c>
      <c r="M148" s="5" t="s">
        <v>25</v>
      </c>
      <c r="N148" s="3" t="s">
        <v>26</v>
      </c>
      <c r="O148" s="5">
        <v>2</v>
      </c>
      <c r="P148" s="3" t="s">
        <v>23</v>
      </c>
      <c r="Q148" s="5"/>
    </row>
    <row r="149" spans="1:17" ht="93">
      <c r="A149" s="5">
        <v>144</v>
      </c>
      <c r="B149" s="6" t="s">
        <v>16</v>
      </c>
      <c r="C149" s="5" t="str">
        <f>HYPERLINK("http://data.overheid.nl/data/dataset/kustlijnkaartenboek-2009-af-te-beelden-trendwaarden-schaal-100000","Kustlijnkaartenboek 2009: Af te beelden trendwaarden schaal (100000)")</f>
        <v>Kustlijnkaartenboek 2009: Af te beelden trendwaarden schaal (100000)</v>
      </c>
      <c r="D149" s="6" t="s">
        <v>17</v>
      </c>
      <c r="E149" s="5" t="s">
        <v>18</v>
      </c>
      <c r="F149" s="6" t="s">
        <v>813</v>
      </c>
      <c r="G149" s="5" t="s">
        <v>115</v>
      </c>
      <c r="H149" s="6" t="s">
        <v>20</v>
      </c>
      <c r="I149" s="5" t="s">
        <v>21</v>
      </c>
      <c r="J149" s="4" t="s">
        <v>22</v>
      </c>
      <c r="K149" s="2" t="s">
        <v>23</v>
      </c>
      <c r="L149" s="6" t="s">
        <v>24</v>
      </c>
      <c r="M149" s="5" t="s">
        <v>25</v>
      </c>
      <c r="N149" s="3" t="s">
        <v>26</v>
      </c>
      <c r="O149" s="5">
        <v>2</v>
      </c>
      <c r="P149" s="3" t="s">
        <v>23</v>
      </c>
      <c r="Q149" s="5"/>
    </row>
    <row r="150" spans="1:17" ht="62">
      <c r="A150" s="5">
        <v>145</v>
      </c>
      <c r="B150" s="6" t="s">
        <v>16</v>
      </c>
      <c r="C150" s="5" t="str">
        <f>HYPERLINK("http://data.overheid.nl/data/dataset/kustlijnkaart-2009-geplande-suppleties-schaal-50000","Kustlijnkaart 2009: Geplande suppleties schaal (50000)")</f>
        <v>Kustlijnkaart 2009: Geplande suppleties schaal (50000)</v>
      </c>
      <c r="D150" s="6" t="s">
        <v>17</v>
      </c>
      <c r="E150" s="5" t="s">
        <v>18</v>
      </c>
      <c r="F150" s="6" t="s">
        <v>813</v>
      </c>
      <c r="G150" s="5" t="s">
        <v>116</v>
      </c>
      <c r="H150" s="6" t="s">
        <v>20</v>
      </c>
      <c r="I150" s="5" t="s">
        <v>21</v>
      </c>
      <c r="J150" s="4" t="s">
        <v>22</v>
      </c>
      <c r="K150" s="2" t="s">
        <v>23</v>
      </c>
      <c r="L150" s="6" t="s">
        <v>24</v>
      </c>
      <c r="M150" s="5" t="s">
        <v>25</v>
      </c>
      <c r="N150" s="3" t="s">
        <v>26</v>
      </c>
      <c r="O150" s="5">
        <v>2</v>
      </c>
      <c r="P150" s="3" t="s">
        <v>23</v>
      </c>
      <c r="Q150" s="5"/>
    </row>
    <row r="151" spans="1:17" ht="62">
      <c r="A151" s="5">
        <v>146</v>
      </c>
      <c r="B151" s="6" t="s">
        <v>16</v>
      </c>
      <c r="C151" s="5" t="str">
        <f>HYPERLINK("http://data.overheid.nl/data/dataset/kustlijnkaart-2009-geplande-suppleties-schaal-25000","Kustlijnkaart 2009: Geplande suppleties schaal (25000)")</f>
        <v>Kustlijnkaart 2009: Geplande suppleties schaal (25000)</v>
      </c>
      <c r="D151" s="6" t="s">
        <v>17</v>
      </c>
      <c r="E151" s="5" t="s">
        <v>18</v>
      </c>
      <c r="F151" s="6" t="s">
        <v>813</v>
      </c>
      <c r="G151" s="5" t="s">
        <v>116</v>
      </c>
      <c r="H151" s="6" t="s">
        <v>20</v>
      </c>
      <c r="I151" s="5" t="s">
        <v>21</v>
      </c>
      <c r="J151" s="4" t="s">
        <v>22</v>
      </c>
      <c r="K151" s="2" t="s">
        <v>23</v>
      </c>
      <c r="L151" s="6" t="s">
        <v>24</v>
      </c>
      <c r="M151" s="5" t="s">
        <v>25</v>
      </c>
      <c r="N151" s="3" t="s">
        <v>26</v>
      </c>
      <c r="O151" s="5">
        <v>2</v>
      </c>
      <c r="P151" s="3" t="s">
        <v>23</v>
      </c>
      <c r="Q151" s="5"/>
    </row>
    <row r="152" spans="1:17" ht="62">
      <c r="A152" s="5">
        <v>147</v>
      </c>
      <c r="B152" s="6" t="s">
        <v>16</v>
      </c>
      <c r="C152" s="5" t="str">
        <f>HYPERLINK("http://data.overheid.nl/data/dataset/kustlijnkaart-2009-geplande-suppleties-schaal-100000","Kustlijnkaart 2009: Geplande suppleties schaal (100000)")</f>
        <v>Kustlijnkaart 2009: Geplande suppleties schaal (100000)</v>
      </c>
      <c r="D152" s="6" t="s">
        <v>17</v>
      </c>
      <c r="E152" s="5" t="s">
        <v>18</v>
      </c>
      <c r="F152" s="6" t="s">
        <v>813</v>
      </c>
      <c r="G152" s="5" t="s">
        <v>116</v>
      </c>
      <c r="H152" s="6" t="s">
        <v>20</v>
      </c>
      <c r="I152" s="5" t="s">
        <v>21</v>
      </c>
      <c r="J152" s="4" t="s">
        <v>22</v>
      </c>
      <c r="K152" s="2" t="s">
        <v>23</v>
      </c>
      <c r="L152" s="6" t="s">
        <v>24</v>
      </c>
      <c r="M152" s="5" t="s">
        <v>25</v>
      </c>
      <c r="N152" s="3" t="s">
        <v>26</v>
      </c>
      <c r="O152" s="5">
        <v>2</v>
      </c>
      <c r="P152" s="3" t="s">
        <v>23</v>
      </c>
      <c r="Q152" s="5"/>
    </row>
    <row r="153" spans="1:17" ht="108.5">
      <c r="A153" s="5">
        <v>148</v>
      </c>
      <c r="B153" s="6" t="s">
        <v>16</v>
      </c>
      <c r="C153" s="5" t="str">
        <f>HYPERLINK("http://data.overheid.nl/data/dataset/kustlijnkaart-2009-berekende-trendwaarden-schaal-50000","Kustlijnkaart 2009: Berekende trendwaarden schaal (50000)")</f>
        <v>Kustlijnkaart 2009: Berekende trendwaarden schaal (50000)</v>
      </c>
      <c r="D153" s="6" t="s">
        <v>17</v>
      </c>
      <c r="E153" s="5" t="s">
        <v>18</v>
      </c>
      <c r="F153" s="6" t="s">
        <v>813</v>
      </c>
      <c r="G153" s="5" t="s">
        <v>117</v>
      </c>
      <c r="H153" s="6" t="s">
        <v>20</v>
      </c>
      <c r="I153" s="5" t="s">
        <v>21</v>
      </c>
      <c r="J153" s="4" t="s">
        <v>22</v>
      </c>
      <c r="K153" s="2" t="s">
        <v>23</v>
      </c>
      <c r="L153" s="6" t="s">
        <v>24</v>
      </c>
      <c r="M153" s="5" t="s">
        <v>25</v>
      </c>
      <c r="N153" s="3" t="s">
        <v>26</v>
      </c>
      <c r="O153" s="5">
        <v>2</v>
      </c>
      <c r="P153" s="3" t="s">
        <v>23</v>
      </c>
      <c r="Q153" s="5"/>
    </row>
    <row r="154" spans="1:17" ht="108.5">
      <c r="A154" s="5">
        <v>149</v>
      </c>
      <c r="B154" s="6" t="s">
        <v>16</v>
      </c>
      <c r="C154" s="5" t="str">
        <f>HYPERLINK("http://data.overheid.nl/data/dataset/kustlijnkaart-2009-berekende-trendwaarden-schaal-100000","Kustlijnkaart 2009: Berekende trendwaarden schaal (100000)")</f>
        <v>Kustlijnkaart 2009: Berekende trendwaarden schaal (100000)</v>
      </c>
      <c r="D154" s="6" t="s">
        <v>17</v>
      </c>
      <c r="E154" s="5" t="s">
        <v>18</v>
      </c>
      <c r="F154" s="6" t="s">
        <v>813</v>
      </c>
      <c r="G154" s="5" t="s">
        <v>117</v>
      </c>
      <c r="H154" s="6" t="s">
        <v>20</v>
      </c>
      <c r="I154" s="5" t="s">
        <v>21</v>
      </c>
      <c r="J154" s="4" t="s">
        <v>22</v>
      </c>
      <c r="K154" s="2" t="s">
        <v>23</v>
      </c>
      <c r="L154" s="6" t="s">
        <v>24</v>
      </c>
      <c r="M154" s="5" t="s">
        <v>25</v>
      </c>
      <c r="N154" s="3" t="s">
        <v>26</v>
      </c>
      <c r="O154" s="5">
        <v>2</v>
      </c>
      <c r="P154" s="3" t="s">
        <v>23</v>
      </c>
      <c r="Q154" s="5"/>
    </row>
    <row r="155" spans="1:17" ht="155">
      <c r="A155" s="5">
        <v>150</v>
      </c>
      <c r="B155" s="6" t="s">
        <v>16</v>
      </c>
      <c r="C155" s="5" t="str">
        <f>HYPERLINK("http://data.overheid.nl/data/dataset/habitattypen-westerschelde-en-saeftinghe-t0","Habitattypen Westerschelde en Saeftinghe t0")</f>
        <v>Habitattypen Westerschelde en Saeftinghe t0</v>
      </c>
      <c r="D155" s="6" t="s">
        <v>17</v>
      </c>
      <c r="E155" s="5" t="s">
        <v>18</v>
      </c>
      <c r="F155" s="6" t="s">
        <v>813</v>
      </c>
      <c r="G155" s="5" t="s">
        <v>118</v>
      </c>
      <c r="H155" s="6" t="s">
        <v>20</v>
      </c>
      <c r="I155" s="5" t="s">
        <v>21</v>
      </c>
      <c r="J155" s="4" t="s">
        <v>22</v>
      </c>
      <c r="K155" s="2" t="s">
        <v>23</v>
      </c>
      <c r="L155" s="6" t="s">
        <v>24</v>
      </c>
      <c r="M155" s="5" t="s">
        <v>25</v>
      </c>
      <c r="N155" s="3" t="s">
        <v>26</v>
      </c>
      <c r="O155" s="5">
        <v>108</v>
      </c>
      <c r="P155" s="3" t="s">
        <v>23</v>
      </c>
      <c r="Q155" s="5"/>
    </row>
    <row r="156" spans="1:17" ht="124">
      <c r="A156" s="5">
        <v>151</v>
      </c>
      <c r="B156" s="6" t="s">
        <v>16</v>
      </c>
      <c r="C156" s="5" t="str">
        <f>HYPERLINK("http://data.overheid.nl/data/dataset/aangewezen-windgebieden-nwp","Aangewezen windgebieden NWP")</f>
        <v>Aangewezen windgebieden NWP</v>
      </c>
      <c r="D156" s="6" t="s">
        <v>17</v>
      </c>
      <c r="E156" s="5" t="s">
        <v>18</v>
      </c>
      <c r="F156" s="6" t="s">
        <v>813</v>
      </c>
      <c r="G156" s="5" t="s">
        <v>119</v>
      </c>
      <c r="H156" s="6" t="s">
        <v>20</v>
      </c>
      <c r="I156" s="5" t="s">
        <v>21</v>
      </c>
      <c r="J156" s="4" t="s">
        <v>22</v>
      </c>
      <c r="K156" s="2" t="s">
        <v>23</v>
      </c>
      <c r="L156" s="6" t="s">
        <v>24</v>
      </c>
      <c r="M156" s="5" t="s">
        <v>25</v>
      </c>
      <c r="N156" s="3" t="s">
        <v>26</v>
      </c>
      <c r="O156" s="5">
        <v>4</v>
      </c>
      <c r="P156" s="3" t="s">
        <v>23</v>
      </c>
      <c r="Q156" s="5"/>
    </row>
    <row r="157" spans="1:17" ht="31">
      <c r="A157" s="5">
        <v>152</v>
      </c>
      <c r="B157" s="6" t="s">
        <v>16</v>
      </c>
      <c r="C157" s="5" t="str">
        <f>HYPERLINK("http://data.overheid.nl/data/dataset/vaargeulgrenzen-met-ngd-indeling-in-de-dordtsche-kil","vaargeulgrenzen met NGD-indeling in de Dordtsche Kil")</f>
        <v>vaargeulgrenzen met NGD-indeling in de Dordtsche Kil</v>
      </c>
      <c r="D157" s="6" t="s">
        <v>17</v>
      </c>
      <c r="E157" s="5" t="s">
        <v>18</v>
      </c>
      <c r="F157" s="6" t="s">
        <v>813</v>
      </c>
      <c r="G157" s="5" t="s">
        <v>120</v>
      </c>
      <c r="H157" s="6" t="s">
        <v>20</v>
      </c>
      <c r="I157" s="5" t="s">
        <v>21</v>
      </c>
      <c r="J157" s="4" t="s">
        <v>22</v>
      </c>
      <c r="K157" s="2" t="s">
        <v>23</v>
      </c>
      <c r="L157" s="6" t="s">
        <v>24</v>
      </c>
      <c r="M157" s="5" t="s">
        <v>25</v>
      </c>
      <c r="N157" s="3" t="s">
        <v>26</v>
      </c>
      <c r="O157" s="5">
        <v>2</v>
      </c>
      <c r="P157" s="3" t="s">
        <v>23</v>
      </c>
      <c r="Q157" s="5"/>
    </row>
    <row r="158" spans="1:17" ht="31">
      <c r="A158" s="5">
        <v>153</v>
      </c>
      <c r="B158" s="6" t="s">
        <v>16</v>
      </c>
      <c r="C158" s="5" t="str">
        <f>HYPERLINK("http://data.overheid.nl/data/dataset/nap-contouren-langs-nederlandse-kust","NAP contouren langs Nederlandse kust")</f>
        <v>NAP contouren langs Nederlandse kust</v>
      </c>
      <c r="D158" s="6" t="s">
        <v>17</v>
      </c>
      <c r="E158" s="5" t="s">
        <v>18</v>
      </c>
      <c r="F158" s="6" t="s">
        <v>813</v>
      </c>
      <c r="G158" s="5" t="s">
        <v>121</v>
      </c>
      <c r="H158" s="6" t="s">
        <v>20</v>
      </c>
      <c r="I158" s="5" t="s">
        <v>21</v>
      </c>
      <c r="J158" s="4" t="s">
        <v>22</v>
      </c>
      <c r="K158" s="2" t="s">
        <v>23</v>
      </c>
      <c r="L158" s="6" t="s">
        <v>24</v>
      </c>
      <c r="M158" s="5" t="s">
        <v>25</v>
      </c>
      <c r="N158" s="3" t="s">
        <v>26</v>
      </c>
      <c r="O158" s="5">
        <v>2</v>
      </c>
      <c r="P158" s="3" t="s">
        <v>23</v>
      </c>
      <c r="Q158" s="5"/>
    </row>
    <row r="159" spans="1:17" ht="31">
      <c r="A159" s="5">
        <v>154</v>
      </c>
      <c r="B159" s="6" t="s">
        <v>16</v>
      </c>
      <c r="C159" s="5" t="str">
        <f>HYPERLINK("http://data.overheid.nl/data/dataset/locatie-van-helikopterfoto-s-2008-van-rivieren-in-beheergebied-rws-zuid-holland","Locatie van helikopterfoto's 2008 van rivieren in beheergebied RWS Zuid-Holland")</f>
        <v>Locatie van helikopterfoto's 2008 van rivieren in beheergebied RWS Zuid-Holland</v>
      </c>
      <c r="D159" s="6" t="s">
        <v>17</v>
      </c>
      <c r="E159" s="5" t="s">
        <v>18</v>
      </c>
      <c r="F159" s="6" t="s">
        <v>813</v>
      </c>
      <c r="G159" s="5" t="s">
        <v>122</v>
      </c>
      <c r="H159" s="6" t="s">
        <v>20</v>
      </c>
      <c r="I159" s="5" t="s">
        <v>21</v>
      </c>
      <c r="J159" s="4" t="s">
        <v>22</v>
      </c>
      <c r="K159" s="2" t="s">
        <v>23</v>
      </c>
      <c r="L159" s="6" t="s">
        <v>24</v>
      </c>
      <c r="M159" s="5" t="s">
        <v>25</v>
      </c>
      <c r="N159" s="3" t="s">
        <v>26</v>
      </c>
      <c r="O159" s="5">
        <v>2</v>
      </c>
      <c r="P159" s="3" t="s">
        <v>23</v>
      </c>
      <c r="Q159" s="5"/>
    </row>
    <row r="160" spans="1:17" ht="31">
      <c r="A160" s="5">
        <v>155</v>
      </c>
      <c r="B160" s="6" t="s">
        <v>16</v>
      </c>
      <c r="C160" s="5" t="str">
        <f>HYPERLINK("http://data.overheid.nl/data/dataset/grens-van-het-gebied-pkb-waddenzee","Grens van het gebied PKB Waddenzee")</f>
        <v>Grens van het gebied PKB Waddenzee</v>
      </c>
      <c r="D160" s="6" t="s">
        <v>17</v>
      </c>
      <c r="E160" s="5" t="s">
        <v>18</v>
      </c>
      <c r="F160" s="6" t="s">
        <v>813</v>
      </c>
      <c r="G160" s="5" t="s">
        <v>123</v>
      </c>
      <c r="H160" s="6" t="s">
        <v>20</v>
      </c>
      <c r="I160" s="5" t="s">
        <v>21</v>
      </c>
      <c r="J160" s="4" t="s">
        <v>22</v>
      </c>
      <c r="K160" s="2" t="s">
        <v>23</v>
      </c>
      <c r="L160" s="6" t="s">
        <v>24</v>
      </c>
      <c r="M160" s="5" t="s">
        <v>25</v>
      </c>
      <c r="N160" s="3" t="s">
        <v>26</v>
      </c>
      <c r="O160" s="5">
        <v>2</v>
      </c>
      <c r="P160" s="3" t="s">
        <v>23</v>
      </c>
      <c r="Q160" s="5"/>
    </row>
    <row r="161" spans="1:17" ht="31">
      <c r="A161" s="5">
        <v>156</v>
      </c>
      <c r="B161" s="6" t="s">
        <v>16</v>
      </c>
      <c r="C161" s="5" t="str">
        <f>HYPERLINK("http://data.overheid.nl/data/dataset/defensiebelangen-gebieden-op-de-noordzee","Defensiebelangen gebieden op de Noordzee")</f>
        <v>Defensiebelangen gebieden op de Noordzee</v>
      </c>
      <c r="D161" s="6" t="s">
        <v>17</v>
      </c>
      <c r="E161" s="5" t="s">
        <v>18</v>
      </c>
      <c r="F161" s="6" t="s">
        <v>813</v>
      </c>
      <c r="G161" s="5" t="s">
        <v>124</v>
      </c>
      <c r="H161" s="6" t="s">
        <v>20</v>
      </c>
      <c r="I161" s="5" t="s">
        <v>21</v>
      </c>
      <c r="J161" s="4" t="s">
        <v>22</v>
      </c>
      <c r="K161" s="2" t="s">
        <v>23</v>
      </c>
      <c r="L161" s="6" t="s">
        <v>24</v>
      </c>
      <c r="M161" s="5" t="s">
        <v>25</v>
      </c>
      <c r="N161" s="3" t="s">
        <v>26</v>
      </c>
      <c r="O161" s="5">
        <v>2</v>
      </c>
      <c r="P161" s="3" t="s">
        <v>23</v>
      </c>
      <c r="Q161" s="5"/>
    </row>
    <row r="162" spans="1:17" ht="93">
      <c r="A162" s="5">
        <v>157</v>
      </c>
      <c r="B162" s="6" t="s">
        <v>16</v>
      </c>
      <c r="C162" s="5" t="str">
        <f>HYPERLINK("http://data.overheid.nl/data/dataset/bladoverzicht-gescande-waterstaatskaarten-5e-editie-01","Bladoverzicht gescande waterstaatskaarten 5e editie")</f>
        <v>Bladoverzicht gescande waterstaatskaarten 5e editie</v>
      </c>
      <c r="D162" s="6" t="s">
        <v>17</v>
      </c>
      <c r="E162" s="5" t="s">
        <v>18</v>
      </c>
      <c r="F162" s="6" t="s">
        <v>813</v>
      </c>
      <c r="G162" s="5" t="s">
        <v>125</v>
      </c>
      <c r="H162" s="6" t="s">
        <v>20</v>
      </c>
      <c r="I162" s="5" t="s">
        <v>21</v>
      </c>
      <c r="J162" s="4" t="s">
        <v>22</v>
      </c>
      <c r="K162" s="2" t="s">
        <v>23</v>
      </c>
      <c r="L162" s="6" t="s">
        <v>24</v>
      </c>
      <c r="M162" s="5" t="s">
        <v>25</v>
      </c>
      <c r="N162" s="3" t="s">
        <v>26</v>
      </c>
      <c r="O162" s="5">
        <v>2</v>
      </c>
      <c r="P162" s="3" t="s">
        <v>23</v>
      </c>
      <c r="Q162" s="5"/>
    </row>
    <row r="163" spans="1:17" ht="31">
      <c r="A163" s="5">
        <v>158</v>
      </c>
      <c r="B163" s="6" t="s">
        <v>16</v>
      </c>
      <c r="C163" s="5" t="str">
        <f>HYPERLINK("http://data.overheid.nl/data/dataset/zandsuppletie-vanaf-2007-2020","Zandsuppletie vanaf 2007-2020")</f>
        <v>Zandsuppletie vanaf 2007-2020</v>
      </c>
      <c r="D163" s="6" t="s">
        <v>17</v>
      </c>
      <c r="E163" s="5" t="s">
        <v>18</v>
      </c>
      <c r="F163" s="6" t="s">
        <v>813</v>
      </c>
      <c r="G163" s="5" t="s">
        <v>126</v>
      </c>
      <c r="H163" s="6" t="s">
        <v>28</v>
      </c>
      <c r="I163" s="5" t="s">
        <v>21</v>
      </c>
      <c r="J163" s="4" t="s">
        <v>22</v>
      </c>
      <c r="K163" s="2" t="s">
        <v>23</v>
      </c>
      <c r="L163" s="6" t="s">
        <v>24</v>
      </c>
      <c r="M163" s="5" t="s">
        <v>25</v>
      </c>
      <c r="N163" s="3" t="s">
        <v>26</v>
      </c>
      <c r="O163" s="5">
        <v>4</v>
      </c>
      <c r="P163" s="3" t="s">
        <v>23</v>
      </c>
      <c r="Q163" s="5"/>
    </row>
    <row r="164" spans="1:17" ht="31">
      <c r="A164" s="5">
        <v>159</v>
      </c>
      <c r="B164" s="6" t="s">
        <v>16</v>
      </c>
      <c r="C164" s="5" t="str">
        <f>HYPERLINK("http://data.overheid.nl/data/dataset/locatie-helikopterfoto-s-2007-van-rivieren-in-beheergebied-rws-zuid-holland","Locatie helikopterfoto's 2007 van rivieren in beheergebied RWS Zuid-Holland")</f>
        <v>Locatie helikopterfoto's 2007 van rivieren in beheergebied RWS Zuid-Holland</v>
      </c>
      <c r="D164" s="6" t="s">
        <v>17</v>
      </c>
      <c r="E164" s="5" t="s">
        <v>18</v>
      </c>
      <c r="F164" s="6" t="s">
        <v>813</v>
      </c>
      <c r="G164" s="5" t="s">
        <v>127</v>
      </c>
      <c r="H164" s="6" t="s">
        <v>20</v>
      </c>
      <c r="I164" s="5" t="s">
        <v>21</v>
      </c>
      <c r="J164" s="4" t="s">
        <v>22</v>
      </c>
      <c r="K164" s="2" t="s">
        <v>23</v>
      </c>
      <c r="L164" s="6" t="s">
        <v>24</v>
      </c>
      <c r="M164" s="5" t="s">
        <v>25</v>
      </c>
      <c r="N164" s="3" t="s">
        <v>26</v>
      </c>
      <c r="O164" s="5">
        <v>2</v>
      </c>
      <c r="P164" s="3" t="s">
        <v>23</v>
      </c>
      <c r="Q164" s="5"/>
    </row>
    <row r="165" spans="1:17" ht="93">
      <c r="A165" s="5">
        <v>160</v>
      </c>
      <c r="B165" s="6" t="s">
        <v>16</v>
      </c>
      <c r="C165" s="5" t="str">
        <f>HYPERLINK("http://data.overheid.nl/data/dataset/kustlijnkaartenboek-2008-af-te-beelden-trendwaarden-schaal-50000","Kustlijnkaartenboek 2008: Af te beelden trendwaarden schaal (50000)")</f>
        <v>Kustlijnkaartenboek 2008: Af te beelden trendwaarden schaal (50000)</v>
      </c>
      <c r="D165" s="6" t="s">
        <v>17</v>
      </c>
      <c r="E165" s="5" t="s">
        <v>18</v>
      </c>
      <c r="F165" s="6" t="s">
        <v>813</v>
      </c>
      <c r="G165" s="5" t="s">
        <v>128</v>
      </c>
      <c r="H165" s="6" t="s">
        <v>20</v>
      </c>
      <c r="I165" s="5" t="s">
        <v>21</v>
      </c>
      <c r="J165" s="4" t="s">
        <v>22</v>
      </c>
      <c r="K165" s="2" t="s">
        <v>23</v>
      </c>
      <c r="L165" s="6" t="s">
        <v>24</v>
      </c>
      <c r="M165" s="5" t="s">
        <v>25</v>
      </c>
      <c r="N165" s="3" t="s">
        <v>26</v>
      </c>
      <c r="O165" s="5">
        <v>4</v>
      </c>
      <c r="P165" s="3" t="s">
        <v>23</v>
      </c>
      <c r="Q165" s="5"/>
    </row>
    <row r="166" spans="1:17" ht="93">
      <c r="A166" s="5">
        <v>161</v>
      </c>
      <c r="B166" s="6" t="s">
        <v>16</v>
      </c>
      <c r="C166" s="5" t="str">
        <f>HYPERLINK("http://data.overheid.nl/data/dataset/kustlijnkaartenboek-2008-af-te-beelden-trendwaarden-schaal-25000","Kustlijnkaartenboek 2008: Af te beelden trendwaarden schaal (25000)")</f>
        <v>Kustlijnkaartenboek 2008: Af te beelden trendwaarden schaal (25000)</v>
      </c>
      <c r="D166" s="6" t="s">
        <v>17</v>
      </c>
      <c r="E166" s="5" t="s">
        <v>18</v>
      </c>
      <c r="F166" s="6" t="s">
        <v>813</v>
      </c>
      <c r="G166" s="5" t="s">
        <v>128</v>
      </c>
      <c r="H166" s="6" t="s">
        <v>20</v>
      </c>
      <c r="I166" s="5" t="s">
        <v>21</v>
      </c>
      <c r="J166" s="4" t="s">
        <v>22</v>
      </c>
      <c r="K166" s="2" t="s">
        <v>23</v>
      </c>
      <c r="L166" s="6" t="s">
        <v>24</v>
      </c>
      <c r="M166" s="5" t="s">
        <v>25</v>
      </c>
      <c r="N166" s="3" t="s">
        <v>26</v>
      </c>
      <c r="O166" s="5">
        <v>4</v>
      </c>
      <c r="P166" s="3" t="s">
        <v>23</v>
      </c>
      <c r="Q166" s="5"/>
    </row>
    <row r="167" spans="1:17" ht="93">
      <c r="A167" s="5">
        <v>162</v>
      </c>
      <c r="B167" s="6" t="s">
        <v>16</v>
      </c>
      <c r="C167" s="5" t="str">
        <f>HYPERLINK("http://data.overheid.nl/data/dataset/kustlijnkaartenboek-2008-af-te-beelden-trendwaarden-schaal-100000","Kustlijnkaartenboek 2008: Af te beelden trendwaarden schaal (100000)")</f>
        <v>Kustlijnkaartenboek 2008: Af te beelden trendwaarden schaal (100000)</v>
      </c>
      <c r="D167" s="6" t="s">
        <v>17</v>
      </c>
      <c r="E167" s="5" t="s">
        <v>18</v>
      </c>
      <c r="F167" s="6" t="s">
        <v>813</v>
      </c>
      <c r="G167" s="5" t="s">
        <v>128</v>
      </c>
      <c r="H167" s="6" t="s">
        <v>20</v>
      </c>
      <c r="I167" s="5" t="s">
        <v>21</v>
      </c>
      <c r="J167" s="4" t="s">
        <v>22</v>
      </c>
      <c r="K167" s="2" t="s">
        <v>23</v>
      </c>
      <c r="L167" s="6" t="s">
        <v>24</v>
      </c>
      <c r="M167" s="5" t="s">
        <v>25</v>
      </c>
      <c r="N167" s="3" t="s">
        <v>26</v>
      </c>
      <c r="O167" s="5">
        <v>4</v>
      </c>
      <c r="P167" s="3" t="s">
        <v>23</v>
      </c>
      <c r="Q167" s="5"/>
    </row>
    <row r="168" spans="1:17" ht="124">
      <c r="A168" s="5">
        <v>163</v>
      </c>
      <c r="B168" s="6" t="s">
        <v>16</v>
      </c>
      <c r="C168" s="5" t="str">
        <f>HYPERLINK("http://data.overheid.nl/data/dataset/historisch-hoogtebestand-nederland-vlieglijnen","Historisch Hoogtebestand Nederland vlieglijnen")</f>
        <v>Historisch Hoogtebestand Nederland vlieglijnen</v>
      </c>
      <c r="D168" s="6" t="s">
        <v>17</v>
      </c>
      <c r="E168" s="5" t="s">
        <v>18</v>
      </c>
      <c r="F168" s="6" t="s">
        <v>813</v>
      </c>
      <c r="G168" s="5" t="s">
        <v>129</v>
      </c>
      <c r="H168" s="6" t="s">
        <v>28</v>
      </c>
      <c r="I168" s="5" t="s">
        <v>21</v>
      </c>
      <c r="J168" s="4" t="s">
        <v>22</v>
      </c>
      <c r="K168" s="2" t="s">
        <v>23</v>
      </c>
      <c r="L168" s="6" t="s">
        <v>24</v>
      </c>
      <c r="M168" s="5" t="s">
        <v>25</v>
      </c>
      <c r="N168" s="3" t="s">
        <v>26</v>
      </c>
      <c r="O168" s="5">
        <v>2</v>
      </c>
      <c r="P168" s="3" t="s">
        <v>23</v>
      </c>
      <c r="Q168" s="5"/>
    </row>
    <row r="169" spans="1:17" ht="93">
      <c r="A169" s="5">
        <v>164</v>
      </c>
      <c r="B169" s="6" t="s">
        <v>16</v>
      </c>
      <c r="C169" s="5" t="str">
        <f>HYPERLINK("http://data.overheid.nl/data/dataset/historisch-hoogtebestand-nederland-stadspolygonen","Historisch Hoogtebestand Nederland stadspolygonen")</f>
        <v>Historisch Hoogtebestand Nederland stadspolygonen</v>
      </c>
      <c r="D169" s="6" t="s">
        <v>17</v>
      </c>
      <c r="E169" s="5" t="s">
        <v>18</v>
      </c>
      <c r="F169" s="6" t="s">
        <v>813</v>
      </c>
      <c r="G169" s="5" t="s">
        <v>130</v>
      </c>
      <c r="H169" s="6" t="s">
        <v>20</v>
      </c>
      <c r="I169" s="5" t="s">
        <v>21</v>
      </c>
      <c r="J169" s="4" t="s">
        <v>22</v>
      </c>
      <c r="K169" s="2" t="s">
        <v>23</v>
      </c>
      <c r="L169" s="6" t="s">
        <v>24</v>
      </c>
      <c r="M169" s="5" t="s">
        <v>25</v>
      </c>
      <c r="N169" s="3" t="s">
        <v>26</v>
      </c>
      <c r="O169" s="5">
        <v>2</v>
      </c>
      <c r="P169" s="3" t="s">
        <v>23</v>
      </c>
      <c r="Q169" s="5"/>
    </row>
    <row r="170" spans="1:17" ht="31">
      <c r="A170" s="5">
        <v>165</v>
      </c>
      <c r="B170" s="6" t="s">
        <v>16</v>
      </c>
      <c r="C170" s="5" t="str">
        <f>HYPERLINK("http://data.overheid.nl/data/dataset/historisch-hoogtebestand-nederland-puntdichtheid","Historisch Hoogtebestand Nederland puntdichtheid")</f>
        <v>Historisch Hoogtebestand Nederland puntdichtheid</v>
      </c>
      <c r="D170" s="6" t="s">
        <v>17</v>
      </c>
      <c r="E170" s="5" t="s">
        <v>18</v>
      </c>
      <c r="F170" s="6" t="s">
        <v>813</v>
      </c>
      <c r="G170" s="5" t="s">
        <v>131</v>
      </c>
      <c r="H170" s="6" t="s">
        <v>20</v>
      </c>
      <c r="I170" s="5" t="s">
        <v>21</v>
      </c>
      <c r="J170" s="4" t="s">
        <v>22</v>
      </c>
      <c r="K170" s="2" t="s">
        <v>23</v>
      </c>
      <c r="L170" s="6" t="s">
        <v>24</v>
      </c>
      <c r="M170" s="5" t="s">
        <v>25</v>
      </c>
      <c r="N170" s="3" t="s">
        <v>26</v>
      </c>
      <c r="O170" s="5">
        <v>2</v>
      </c>
      <c r="P170" s="3" t="s">
        <v>23</v>
      </c>
      <c r="Q170" s="5"/>
    </row>
    <row r="171" spans="1:17" ht="31">
      <c r="A171" s="5">
        <v>166</v>
      </c>
      <c r="B171" s="6" t="s">
        <v>16</v>
      </c>
      <c r="C171" s="5" t="str">
        <f>HYPERLINK("http://data.overheid.nl/data/dataset/zandsuppletie-in-2007","Zandsuppletie in 2007")</f>
        <v>Zandsuppletie in 2007</v>
      </c>
      <c r="D171" s="6" t="s">
        <v>17</v>
      </c>
      <c r="E171" s="5" t="s">
        <v>18</v>
      </c>
      <c r="F171" s="6" t="s">
        <v>813</v>
      </c>
      <c r="G171" s="5" t="s">
        <v>132</v>
      </c>
      <c r="H171" s="6" t="s">
        <v>20</v>
      </c>
      <c r="I171" s="5" t="s">
        <v>21</v>
      </c>
      <c r="J171" s="4" t="s">
        <v>22</v>
      </c>
      <c r="K171" s="2" t="s">
        <v>23</v>
      </c>
      <c r="L171" s="6" t="s">
        <v>24</v>
      </c>
      <c r="M171" s="5" t="s">
        <v>25</v>
      </c>
      <c r="N171" s="3" t="s">
        <v>26</v>
      </c>
      <c r="O171" s="5">
        <v>2</v>
      </c>
      <c r="P171" s="3" t="s">
        <v>23</v>
      </c>
      <c r="Q171" s="5"/>
    </row>
    <row r="172" spans="1:17" ht="93">
      <c r="A172" s="5">
        <v>167</v>
      </c>
      <c r="B172" s="6" t="s">
        <v>16</v>
      </c>
      <c r="C172" s="5" t="str">
        <f>HYPERLINK("http://data.overheid.nl/data/dataset/kustlijnkaartenboek-2007-af-te-beelden-trendwaarden-schaal-50000","Kustlijnkaartenboek 2007: Af te beelden trendwaarden schaal (50000)")</f>
        <v>Kustlijnkaartenboek 2007: Af te beelden trendwaarden schaal (50000)</v>
      </c>
      <c r="D172" s="6" t="s">
        <v>17</v>
      </c>
      <c r="E172" s="5" t="s">
        <v>18</v>
      </c>
      <c r="F172" s="6" t="s">
        <v>813</v>
      </c>
      <c r="G172" s="5" t="s">
        <v>133</v>
      </c>
      <c r="H172" s="6" t="s">
        <v>20</v>
      </c>
      <c r="I172" s="5" t="s">
        <v>21</v>
      </c>
      <c r="J172" s="4" t="s">
        <v>22</v>
      </c>
      <c r="K172" s="2" t="s">
        <v>23</v>
      </c>
      <c r="L172" s="6" t="s">
        <v>24</v>
      </c>
      <c r="M172" s="5" t="s">
        <v>25</v>
      </c>
      <c r="N172" s="3" t="s">
        <v>26</v>
      </c>
      <c r="O172" s="5">
        <v>2</v>
      </c>
      <c r="P172" s="3" t="s">
        <v>23</v>
      </c>
      <c r="Q172" s="5"/>
    </row>
    <row r="173" spans="1:17" ht="93">
      <c r="A173" s="5">
        <v>168</v>
      </c>
      <c r="B173" s="6" t="s">
        <v>16</v>
      </c>
      <c r="C173" s="5" t="str">
        <f>HYPERLINK("http://data.overheid.nl/data/dataset/kustlijnkaartenboek-2007-af-te-beelden-trendwaarden-schaal-25000","Kustlijnkaartenboek 2007: Af te beelden trendwaarden schaal (25000)")</f>
        <v>Kustlijnkaartenboek 2007: Af te beelden trendwaarden schaal (25000)</v>
      </c>
      <c r="D173" s="6" t="s">
        <v>17</v>
      </c>
      <c r="E173" s="5" t="s">
        <v>18</v>
      </c>
      <c r="F173" s="6" t="s">
        <v>813</v>
      </c>
      <c r="G173" s="5" t="s">
        <v>133</v>
      </c>
      <c r="H173" s="6" t="s">
        <v>20</v>
      </c>
      <c r="I173" s="5" t="s">
        <v>21</v>
      </c>
      <c r="J173" s="4" t="s">
        <v>22</v>
      </c>
      <c r="K173" s="2" t="s">
        <v>23</v>
      </c>
      <c r="L173" s="6" t="s">
        <v>24</v>
      </c>
      <c r="M173" s="5" t="s">
        <v>25</v>
      </c>
      <c r="N173" s="3" t="s">
        <v>26</v>
      </c>
      <c r="O173" s="5">
        <v>2</v>
      </c>
      <c r="P173" s="3" t="s">
        <v>23</v>
      </c>
      <c r="Q173" s="5"/>
    </row>
    <row r="174" spans="1:17" ht="93">
      <c r="A174" s="5">
        <v>169</v>
      </c>
      <c r="B174" s="6" t="s">
        <v>16</v>
      </c>
      <c r="C174" s="5" t="str">
        <f>HYPERLINK("http://data.overheid.nl/data/dataset/kustlijnkaartenboek-2007-af-te-beelden-trendwaarden-schaal-100000","Kustlijnkaartenboek 2007: Af te beelden trendwaarden schaal (100000)")</f>
        <v>Kustlijnkaartenboek 2007: Af te beelden trendwaarden schaal (100000)</v>
      </c>
      <c r="D174" s="6" t="s">
        <v>17</v>
      </c>
      <c r="E174" s="5" t="s">
        <v>18</v>
      </c>
      <c r="F174" s="6" t="s">
        <v>813</v>
      </c>
      <c r="G174" s="5" t="s">
        <v>133</v>
      </c>
      <c r="H174" s="6" t="s">
        <v>20</v>
      </c>
      <c r="I174" s="5" t="s">
        <v>21</v>
      </c>
      <c r="J174" s="4" t="s">
        <v>22</v>
      </c>
      <c r="K174" s="2" t="s">
        <v>23</v>
      </c>
      <c r="L174" s="6" t="s">
        <v>24</v>
      </c>
      <c r="M174" s="5" t="s">
        <v>25</v>
      </c>
      <c r="N174" s="3" t="s">
        <v>26</v>
      </c>
      <c r="O174" s="5">
        <v>2</v>
      </c>
      <c r="P174" s="3" t="s">
        <v>23</v>
      </c>
      <c r="Q174" s="5"/>
    </row>
    <row r="175" spans="1:17" ht="62">
      <c r="A175" s="5">
        <v>170</v>
      </c>
      <c r="B175" s="6" t="s">
        <v>16</v>
      </c>
      <c r="C175" s="5" t="str">
        <f>HYPERLINK("http://data.overheid.nl/data/dataset/kustlijnkaart-2007-geplande-suppleties-schaal-50000","Kustlijnkaart 2007: Geplande suppleties schaal (50000)")</f>
        <v>Kustlijnkaart 2007: Geplande suppleties schaal (50000)</v>
      </c>
      <c r="D175" s="6" t="s">
        <v>17</v>
      </c>
      <c r="E175" s="5" t="s">
        <v>18</v>
      </c>
      <c r="F175" s="6" t="s">
        <v>813</v>
      </c>
      <c r="G175" s="5" t="s">
        <v>134</v>
      </c>
      <c r="H175" s="6" t="s">
        <v>20</v>
      </c>
      <c r="I175" s="5" t="s">
        <v>21</v>
      </c>
      <c r="J175" s="4" t="s">
        <v>22</v>
      </c>
      <c r="K175" s="2" t="s">
        <v>23</v>
      </c>
      <c r="L175" s="6" t="s">
        <v>24</v>
      </c>
      <c r="M175" s="5" t="s">
        <v>25</v>
      </c>
      <c r="N175" s="3" t="s">
        <v>26</v>
      </c>
      <c r="O175" s="5">
        <v>2</v>
      </c>
      <c r="P175" s="3" t="s">
        <v>23</v>
      </c>
      <c r="Q175" s="5"/>
    </row>
    <row r="176" spans="1:17" ht="62">
      <c r="A176" s="5">
        <v>171</v>
      </c>
      <c r="B176" s="6" t="s">
        <v>16</v>
      </c>
      <c r="C176" s="5" t="str">
        <f>HYPERLINK("http://data.overheid.nl/data/dataset/kustlijnkaart-2007-geplande-suppleties-schaal-25000","Kustlijnkaart 2007: Geplande suppleties schaal (25000)")</f>
        <v>Kustlijnkaart 2007: Geplande suppleties schaal (25000)</v>
      </c>
      <c r="D176" s="6" t="s">
        <v>17</v>
      </c>
      <c r="E176" s="5" t="s">
        <v>18</v>
      </c>
      <c r="F176" s="6" t="s">
        <v>813</v>
      </c>
      <c r="G176" s="5" t="s">
        <v>134</v>
      </c>
      <c r="H176" s="6" t="s">
        <v>20</v>
      </c>
      <c r="I176" s="5" t="s">
        <v>21</v>
      </c>
      <c r="J176" s="4" t="s">
        <v>22</v>
      </c>
      <c r="K176" s="2" t="s">
        <v>23</v>
      </c>
      <c r="L176" s="6" t="s">
        <v>24</v>
      </c>
      <c r="M176" s="5" t="s">
        <v>25</v>
      </c>
      <c r="N176" s="3" t="s">
        <v>26</v>
      </c>
      <c r="O176" s="5">
        <v>2</v>
      </c>
      <c r="P176" s="3" t="s">
        <v>23</v>
      </c>
      <c r="Q176" s="5"/>
    </row>
    <row r="177" spans="1:17" ht="62">
      <c r="A177" s="5">
        <v>172</v>
      </c>
      <c r="B177" s="6" t="s">
        <v>16</v>
      </c>
      <c r="C177" s="5" t="str">
        <f>HYPERLINK("http://data.overheid.nl/data/dataset/kustlijnkaart-2007-geplande-suppleties-schaal-100000","Kustlijnkaart 2007: Geplande suppleties schaal (100000)")</f>
        <v>Kustlijnkaart 2007: Geplande suppleties schaal (100000)</v>
      </c>
      <c r="D177" s="6" t="s">
        <v>17</v>
      </c>
      <c r="E177" s="5" t="s">
        <v>18</v>
      </c>
      <c r="F177" s="6" t="s">
        <v>813</v>
      </c>
      <c r="G177" s="5" t="s">
        <v>134</v>
      </c>
      <c r="H177" s="6" t="s">
        <v>20</v>
      </c>
      <c r="I177" s="5" t="s">
        <v>21</v>
      </c>
      <c r="J177" s="4" t="s">
        <v>22</v>
      </c>
      <c r="K177" s="2" t="s">
        <v>23</v>
      </c>
      <c r="L177" s="6" t="s">
        <v>24</v>
      </c>
      <c r="M177" s="5" t="s">
        <v>25</v>
      </c>
      <c r="N177" s="3" t="s">
        <v>26</v>
      </c>
      <c r="O177" s="5">
        <v>2</v>
      </c>
      <c r="P177" s="3" t="s">
        <v>23</v>
      </c>
      <c r="Q177" s="5"/>
    </row>
    <row r="178" spans="1:17" ht="232.5">
      <c r="A178" s="5">
        <v>173</v>
      </c>
      <c r="B178" s="6" t="s">
        <v>16</v>
      </c>
      <c r="C178" s="5" t="str">
        <f>HYPERLINK("http://data.overheid.nl/data/dataset/hoogtebestand-kust2-2006","Hoogtebestand Kust2 2006")</f>
        <v>Hoogtebestand Kust2 2006</v>
      </c>
      <c r="D178" s="6" t="s">
        <v>17</v>
      </c>
      <c r="E178" s="5" t="s">
        <v>18</v>
      </c>
      <c r="F178" s="6" t="s">
        <v>813</v>
      </c>
      <c r="G178" s="5" t="s">
        <v>135</v>
      </c>
      <c r="H178" s="6" t="s">
        <v>20</v>
      </c>
      <c r="I178" s="5" t="s">
        <v>21</v>
      </c>
      <c r="J178" s="4" t="s">
        <v>22</v>
      </c>
      <c r="K178" s="2" t="s">
        <v>23</v>
      </c>
      <c r="L178" s="6" t="s">
        <v>24</v>
      </c>
      <c r="M178" s="5" t="s">
        <v>25</v>
      </c>
      <c r="N178" s="3" t="s">
        <v>26</v>
      </c>
      <c r="O178" s="5">
        <v>2</v>
      </c>
      <c r="P178" s="3" t="s">
        <v>23</v>
      </c>
      <c r="Q178" s="5"/>
    </row>
    <row r="179" spans="1:17" ht="93">
      <c r="A179" s="5">
        <v>174</v>
      </c>
      <c r="B179" s="6" t="s">
        <v>16</v>
      </c>
      <c r="C179" s="5" t="str">
        <f>HYPERLINK("http://data.overheid.nl/data/dataset/kustlijnkaartenboek-2006-af-te-beelden-trendwaarden-schaal-50000","Kustlijnkaartenboek 2006: Af te beelden trendwaarden schaal (50000)")</f>
        <v>Kustlijnkaartenboek 2006: Af te beelden trendwaarden schaal (50000)</v>
      </c>
      <c r="D179" s="6" t="s">
        <v>17</v>
      </c>
      <c r="E179" s="5" t="s">
        <v>18</v>
      </c>
      <c r="F179" s="6" t="s">
        <v>813</v>
      </c>
      <c r="G179" s="5" t="s">
        <v>136</v>
      </c>
      <c r="H179" s="6" t="s">
        <v>20</v>
      </c>
      <c r="I179" s="5" t="s">
        <v>21</v>
      </c>
      <c r="J179" s="4" t="s">
        <v>22</v>
      </c>
      <c r="K179" s="2" t="s">
        <v>23</v>
      </c>
      <c r="L179" s="6" t="s">
        <v>24</v>
      </c>
      <c r="M179" s="5" t="s">
        <v>25</v>
      </c>
      <c r="N179" s="3" t="s">
        <v>26</v>
      </c>
      <c r="O179" s="5">
        <v>2</v>
      </c>
      <c r="P179" s="3" t="s">
        <v>23</v>
      </c>
      <c r="Q179" s="5"/>
    </row>
    <row r="180" spans="1:17" ht="93">
      <c r="A180" s="5">
        <v>175</v>
      </c>
      <c r="B180" s="6" t="s">
        <v>16</v>
      </c>
      <c r="C180" s="5" t="str">
        <f>HYPERLINK("http://data.overheid.nl/data/dataset/kustlijnkaartenboek-2006-af-te-beelden-trendwaarden-schaal-25000","Kustlijnkaartenboek 2006: Af te beelden trendwaarden schaal (25000)")</f>
        <v>Kustlijnkaartenboek 2006: Af te beelden trendwaarden schaal (25000)</v>
      </c>
      <c r="D180" s="6" t="s">
        <v>17</v>
      </c>
      <c r="E180" s="5" t="s">
        <v>18</v>
      </c>
      <c r="F180" s="6" t="s">
        <v>813</v>
      </c>
      <c r="G180" s="5" t="s">
        <v>136</v>
      </c>
      <c r="H180" s="6" t="s">
        <v>20</v>
      </c>
      <c r="I180" s="5" t="s">
        <v>21</v>
      </c>
      <c r="J180" s="4" t="s">
        <v>22</v>
      </c>
      <c r="K180" s="2" t="s">
        <v>23</v>
      </c>
      <c r="L180" s="6" t="s">
        <v>24</v>
      </c>
      <c r="M180" s="5" t="s">
        <v>25</v>
      </c>
      <c r="N180" s="3" t="s">
        <v>26</v>
      </c>
      <c r="O180" s="5">
        <v>2</v>
      </c>
      <c r="P180" s="3" t="s">
        <v>23</v>
      </c>
      <c r="Q180" s="5"/>
    </row>
    <row r="181" spans="1:17" ht="93">
      <c r="A181" s="5">
        <v>176</v>
      </c>
      <c r="B181" s="6" t="s">
        <v>16</v>
      </c>
      <c r="C181" s="5" t="str">
        <f>HYPERLINK("http://data.overheid.nl/data/dataset/kustlijnkaartenboek-2006-af-te-beelden-trendwaarden-schaal-100000","Kustlijnkaartenboek 2006: Af te beelden trendwaarden schaal (100000)")</f>
        <v>Kustlijnkaartenboek 2006: Af te beelden trendwaarden schaal (100000)</v>
      </c>
      <c r="D181" s="6" t="s">
        <v>17</v>
      </c>
      <c r="E181" s="5" t="s">
        <v>18</v>
      </c>
      <c r="F181" s="6" t="s">
        <v>813</v>
      </c>
      <c r="G181" s="5" t="s">
        <v>136</v>
      </c>
      <c r="H181" s="6" t="s">
        <v>20</v>
      </c>
      <c r="I181" s="5" t="s">
        <v>21</v>
      </c>
      <c r="J181" s="4" t="s">
        <v>22</v>
      </c>
      <c r="K181" s="2" t="s">
        <v>23</v>
      </c>
      <c r="L181" s="6" t="s">
        <v>24</v>
      </c>
      <c r="M181" s="5" t="s">
        <v>25</v>
      </c>
      <c r="N181" s="3" t="s">
        <v>26</v>
      </c>
      <c r="O181" s="5">
        <v>2</v>
      </c>
      <c r="P181" s="3" t="s">
        <v>23</v>
      </c>
      <c r="Q181" s="5"/>
    </row>
    <row r="182" spans="1:17" ht="62">
      <c r="A182" s="5">
        <v>177</v>
      </c>
      <c r="B182" s="6" t="s">
        <v>16</v>
      </c>
      <c r="C182" s="5" t="str">
        <f>HYPERLINK("http://data.overheid.nl/data/dataset/kustlijnkaart-2006-geplande-suppleties-schaal-50000","Kustlijnkaart 2006: Geplande suppleties schaal (50000)")</f>
        <v>Kustlijnkaart 2006: Geplande suppleties schaal (50000)</v>
      </c>
      <c r="D182" s="6" t="s">
        <v>17</v>
      </c>
      <c r="E182" s="5" t="s">
        <v>18</v>
      </c>
      <c r="F182" s="6" t="s">
        <v>813</v>
      </c>
      <c r="G182" s="5" t="s">
        <v>137</v>
      </c>
      <c r="H182" s="6" t="s">
        <v>20</v>
      </c>
      <c r="I182" s="5" t="s">
        <v>21</v>
      </c>
      <c r="J182" s="4" t="s">
        <v>22</v>
      </c>
      <c r="K182" s="2" t="s">
        <v>23</v>
      </c>
      <c r="L182" s="6" t="s">
        <v>24</v>
      </c>
      <c r="M182" s="5" t="s">
        <v>25</v>
      </c>
      <c r="N182" s="3" t="s">
        <v>26</v>
      </c>
      <c r="O182" s="5">
        <v>2</v>
      </c>
      <c r="P182" s="3" t="s">
        <v>23</v>
      </c>
      <c r="Q182" s="5"/>
    </row>
    <row r="183" spans="1:17" ht="62">
      <c r="A183" s="5">
        <v>178</v>
      </c>
      <c r="B183" s="6" t="s">
        <v>16</v>
      </c>
      <c r="C183" s="5" t="str">
        <f>HYPERLINK("http://data.overheid.nl/data/dataset/kustlijnkaart-2006-geplande-suppleties-schaal-25000","Kustlijnkaart 2006: Geplande suppleties schaal (25000)")</f>
        <v>Kustlijnkaart 2006: Geplande suppleties schaal (25000)</v>
      </c>
      <c r="D183" s="6" t="s">
        <v>17</v>
      </c>
      <c r="E183" s="5" t="s">
        <v>18</v>
      </c>
      <c r="F183" s="6" t="s">
        <v>813</v>
      </c>
      <c r="G183" s="5" t="s">
        <v>137</v>
      </c>
      <c r="H183" s="6" t="s">
        <v>20</v>
      </c>
      <c r="I183" s="5" t="s">
        <v>21</v>
      </c>
      <c r="J183" s="4" t="s">
        <v>22</v>
      </c>
      <c r="K183" s="2" t="s">
        <v>23</v>
      </c>
      <c r="L183" s="6" t="s">
        <v>24</v>
      </c>
      <c r="M183" s="5" t="s">
        <v>25</v>
      </c>
      <c r="N183" s="3" t="s">
        <v>26</v>
      </c>
      <c r="O183" s="5">
        <v>2</v>
      </c>
      <c r="P183" s="3" t="s">
        <v>23</v>
      </c>
      <c r="Q183" s="5"/>
    </row>
    <row r="184" spans="1:17" ht="62">
      <c r="A184" s="5">
        <v>179</v>
      </c>
      <c r="B184" s="6" t="s">
        <v>16</v>
      </c>
      <c r="C184" s="5" t="str">
        <f>HYPERLINK("http://data.overheid.nl/data/dataset/kustlijnkaart-2006-geplande-suppleties-schaal-100000","Kustlijnkaart 2006: Geplande suppleties schaal (100000)")</f>
        <v>Kustlijnkaart 2006: Geplande suppleties schaal (100000)</v>
      </c>
      <c r="D184" s="6" t="s">
        <v>17</v>
      </c>
      <c r="E184" s="5" t="s">
        <v>18</v>
      </c>
      <c r="F184" s="6" t="s">
        <v>813</v>
      </c>
      <c r="G184" s="5" t="s">
        <v>137</v>
      </c>
      <c r="H184" s="6" t="s">
        <v>20</v>
      </c>
      <c r="I184" s="5" t="s">
        <v>21</v>
      </c>
      <c r="J184" s="4" t="s">
        <v>22</v>
      </c>
      <c r="K184" s="2" t="s">
        <v>23</v>
      </c>
      <c r="L184" s="6" t="s">
        <v>24</v>
      </c>
      <c r="M184" s="5" t="s">
        <v>25</v>
      </c>
      <c r="N184" s="3" t="s">
        <v>26</v>
      </c>
      <c r="O184" s="5">
        <v>2</v>
      </c>
      <c r="P184" s="3" t="s">
        <v>23</v>
      </c>
      <c r="Q184" s="5"/>
    </row>
    <row r="185" spans="1:17" ht="31">
      <c r="A185" s="5">
        <v>180</v>
      </c>
      <c r="B185" s="6" t="s">
        <v>16</v>
      </c>
      <c r="C185" s="5" t="str">
        <f>HYPERLINK("http://data.overheid.nl/data/dataset/grindpercentage-tot-15cm-grid","Grindpercentage tot 15cm grid")</f>
        <v>Grindpercentage tot 15cm grid</v>
      </c>
      <c r="D185" s="6" t="s">
        <v>17</v>
      </c>
      <c r="E185" s="5" t="s">
        <v>18</v>
      </c>
      <c r="F185" s="6" t="s">
        <v>813</v>
      </c>
      <c r="G185" s="5" t="s">
        <v>138</v>
      </c>
      <c r="H185" s="6" t="s">
        <v>20</v>
      </c>
      <c r="I185" s="5" t="s">
        <v>21</v>
      </c>
      <c r="J185" s="4" t="s">
        <v>22</v>
      </c>
      <c r="K185" s="2" t="s">
        <v>23</v>
      </c>
      <c r="L185" s="6" t="s">
        <v>24</v>
      </c>
      <c r="M185" s="5" t="s">
        <v>25</v>
      </c>
      <c r="N185" s="3" t="s">
        <v>26</v>
      </c>
      <c r="O185" s="5">
        <v>4</v>
      </c>
      <c r="P185" s="3" t="s">
        <v>23</v>
      </c>
      <c r="Q185" s="5"/>
    </row>
    <row r="186" spans="1:17" ht="31">
      <c r="A186" s="5">
        <v>181</v>
      </c>
      <c r="B186" s="6" t="s">
        <v>16</v>
      </c>
      <c r="C186" s="5" t="str">
        <f>HYPERLINK("http://data.overheid.nl/data/dataset/d50-zand-tot-15cm-polygonen","D50 zand tot 15cm polygonen")</f>
        <v>D50 zand tot 15cm polygonen</v>
      </c>
      <c r="D186" s="6" t="s">
        <v>17</v>
      </c>
      <c r="E186" s="5" t="s">
        <v>18</v>
      </c>
      <c r="F186" s="6" t="s">
        <v>813</v>
      </c>
      <c r="G186" s="5" t="s">
        <v>139</v>
      </c>
      <c r="H186" s="6" t="s">
        <v>20</v>
      </c>
      <c r="I186" s="5" t="s">
        <v>21</v>
      </c>
      <c r="J186" s="4" t="s">
        <v>22</v>
      </c>
      <c r="K186" s="2" t="s">
        <v>23</v>
      </c>
      <c r="L186" s="6" t="s">
        <v>24</v>
      </c>
      <c r="M186" s="5" t="s">
        <v>25</v>
      </c>
      <c r="N186" s="3" t="s">
        <v>26</v>
      </c>
      <c r="O186" s="5">
        <v>2</v>
      </c>
      <c r="P186" s="3" t="s">
        <v>23</v>
      </c>
      <c r="Q186" s="5"/>
    </row>
    <row r="187" spans="1:17" ht="31">
      <c r="A187" s="5">
        <v>182</v>
      </c>
      <c r="B187" s="6" t="s">
        <v>16</v>
      </c>
      <c r="C187" s="5" t="str">
        <f>HYPERLINK("http://data.overheid.nl/data/dataset/d50-zand-tot-15cm-grid","D50 zand tot 15cm grid")</f>
        <v>D50 zand tot 15cm grid</v>
      </c>
      <c r="D187" s="6" t="s">
        <v>17</v>
      </c>
      <c r="E187" s="5" t="s">
        <v>18</v>
      </c>
      <c r="F187" s="6" t="s">
        <v>813</v>
      </c>
      <c r="G187" s="5" t="s">
        <v>140</v>
      </c>
      <c r="H187" s="6" t="s">
        <v>20</v>
      </c>
      <c r="I187" s="5" t="s">
        <v>21</v>
      </c>
      <c r="J187" s="4" t="s">
        <v>22</v>
      </c>
      <c r="K187" s="2" t="s">
        <v>23</v>
      </c>
      <c r="L187" s="6" t="s">
        <v>24</v>
      </c>
      <c r="M187" s="5" t="s">
        <v>25</v>
      </c>
      <c r="N187" s="3" t="s">
        <v>26</v>
      </c>
      <c r="O187" s="5">
        <v>4</v>
      </c>
      <c r="P187" s="3" t="s">
        <v>23</v>
      </c>
      <c r="Q187" s="5"/>
    </row>
    <row r="188" spans="1:17" ht="46.5">
      <c r="A188" s="5">
        <v>183</v>
      </c>
      <c r="B188" s="6" t="s">
        <v>16</v>
      </c>
      <c r="C188" s="5" t="str">
        <f>HYPERLINK("http://data.overheid.nl/data/dataset/kustlijnkaarten-ligging-basiskustlijnpositie-langs-de-nederlandse-kust-2006-t-m-2012","Kustlijnkaarten: Ligging Basiskustlijnpositie langs de Nederlandse Kust (2006 t/m 2012)")</f>
        <v>Kustlijnkaarten: Ligging Basiskustlijnpositie langs de Nederlandse Kust (2006 t/m 2012)</v>
      </c>
      <c r="D188" s="6" t="s">
        <v>17</v>
      </c>
      <c r="E188" s="5" t="s">
        <v>18</v>
      </c>
      <c r="F188" s="6" t="s">
        <v>813</v>
      </c>
      <c r="G188" s="5" t="s">
        <v>87</v>
      </c>
      <c r="H188" s="6" t="s">
        <v>20</v>
      </c>
      <c r="I188" s="5" t="s">
        <v>21</v>
      </c>
      <c r="J188" s="4" t="s">
        <v>22</v>
      </c>
      <c r="K188" s="2" t="s">
        <v>23</v>
      </c>
      <c r="L188" s="6" t="s">
        <v>24</v>
      </c>
      <c r="M188" s="5" t="s">
        <v>25</v>
      </c>
      <c r="N188" s="3" t="s">
        <v>26</v>
      </c>
      <c r="O188" s="5">
        <v>14</v>
      </c>
      <c r="P188" s="3" t="s">
        <v>23</v>
      </c>
      <c r="Q188" s="5"/>
    </row>
    <row r="189" spans="1:17" ht="31">
      <c r="A189" s="5">
        <v>184</v>
      </c>
      <c r="B189" s="6" t="s">
        <v>16</v>
      </c>
      <c r="C189" s="5" t="str">
        <f>HYPERLINK("http://data.overheid.nl/data/dataset/vakken-monstercampagne-rotterdam-mcr-1997","Vakken monstercampagne Rotterdam (MCR) 1997")</f>
        <v>Vakken monstercampagne Rotterdam (MCR) 1997</v>
      </c>
      <c r="D189" s="6" t="s">
        <v>17</v>
      </c>
      <c r="E189" s="5" t="s">
        <v>18</v>
      </c>
      <c r="F189" s="6" t="s">
        <v>813</v>
      </c>
      <c r="G189" s="5" t="s">
        <v>141</v>
      </c>
      <c r="H189" s="6" t="s">
        <v>20</v>
      </c>
      <c r="I189" s="5" t="s">
        <v>21</v>
      </c>
      <c r="J189" s="4" t="s">
        <v>22</v>
      </c>
      <c r="K189" s="2" t="s">
        <v>23</v>
      </c>
      <c r="L189" s="6" t="s">
        <v>24</v>
      </c>
      <c r="M189" s="5" t="s">
        <v>25</v>
      </c>
      <c r="N189" s="3" t="s">
        <v>26</v>
      </c>
      <c r="O189" s="5">
        <v>2</v>
      </c>
      <c r="P189" s="3" t="s">
        <v>23</v>
      </c>
      <c r="Q189" s="5"/>
    </row>
    <row r="190" spans="1:17" ht="93">
      <c r="A190" s="5">
        <v>185</v>
      </c>
      <c r="B190" s="6" t="s">
        <v>16</v>
      </c>
      <c r="C190" s="5" t="str">
        <f>HYPERLINK("http://data.overheid.nl/data/dataset/kustlijnkaarten-ligging-rijksstrandpalen-lijn-langs-de-nederlandse-kust-2006-t-m-2012","Kustlijnkaarten: Ligging RijksStrandpalen lijn langs de Nederlandse Kust (2006 t/m 2012)")</f>
        <v>Kustlijnkaarten: Ligging RijksStrandpalen lijn langs de Nederlandse Kust (2006 t/m 2012)</v>
      </c>
      <c r="D190" s="6" t="s">
        <v>17</v>
      </c>
      <c r="E190" s="5" t="s">
        <v>18</v>
      </c>
      <c r="F190" s="6" t="s">
        <v>813</v>
      </c>
      <c r="G190" s="5" t="s">
        <v>85</v>
      </c>
      <c r="H190" s="6" t="s">
        <v>20</v>
      </c>
      <c r="I190" s="5" t="s">
        <v>21</v>
      </c>
      <c r="J190" s="4" t="s">
        <v>22</v>
      </c>
      <c r="K190" s="2" t="s">
        <v>23</v>
      </c>
      <c r="L190" s="6" t="s">
        <v>24</v>
      </c>
      <c r="M190" s="5" t="s">
        <v>25</v>
      </c>
      <c r="N190" s="3" t="s">
        <v>26</v>
      </c>
      <c r="O190" s="5">
        <v>14</v>
      </c>
      <c r="P190" s="3" t="s">
        <v>23</v>
      </c>
      <c r="Q190" s="5"/>
    </row>
    <row r="191" spans="1:17" ht="62">
      <c r="A191" s="5">
        <v>186</v>
      </c>
      <c r="B191" s="6" t="s">
        <v>16</v>
      </c>
      <c r="C191" s="5" t="str">
        <f>HYPERLINK("http://data.overheid.nl/data/dataset/kustlijnkaarten-ligging-jarkus-raaien-langs-de-nederlandse-kust-2006-t-m-2012","Kustlijnkaarten: Ligging JARKUS-raaien langs de Nederlandse Kust (2006 t/m 2012)")</f>
        <v>Kustlijnkaarten: Ligging JARKUS-raaien langs de Nederlandse Kust (2006 t/m 2012)</v>
      </c>
      <c r="D191" s="6" t="s">
        <v>17</v>
      </c>
      <c r="E191" s="5" t="s">
        <v>18</v>
      </c>
      <c r="F191" s="6" t="s">
        <v>813</v>
      </c>
      <c r="G191" s="5" t="s">
        <v>86</v>
      </c>
      <c r="H191" s="6" t="s">
        <v>20</v>
      </c>
      <c r="I191" s="5" t="s">
        <v>21</v>
      </c>
      <c r="J191" s="4" t="s">
        <v>22</v>
      </c>
      <c r="K191" s="2" t="s">
        <v>23</v>
      </c>
      <c r="L191" s="6" t="s">
        <v>24</v>
      </c>
      <c r="M191" s="5" t="s">
        <v>25</v>
      </c>
      <c r="N191" s="3" t="s">
        <v>26</v>
      </c>
      <c r="O191" s="5">
        <v>56</v>
      </c>
      <c r="P191" s="3" t="s">
        <v>23</v>
      </c>
      <c r="Q191" s="5"/>
    </row>
    <row r="192" spans="1:17" ht="46.5">
      <c r="A192" s="5">
        <v>187</v>
      </c>
      <c r="B192" s="6" t="s">
        <v>16</v>
      </c>
      <c r="C192" s="5" t="str">
        <f>HYPERLINK("http://data.overheid.nl/data/dataset/toplaag","Toplaag")</f>
        <v>Toplaag</v>
      </c>
      <c r="D192" s="6" t="s">
        <v>17</v>
      </c>
      <c r="E192" s="5" t="s">
        <v>18</v>
      </c>
      <c r="F192" s="6" t="s">
        <v>813</v>
      </c>
      <c r="G192" s="5" t="s">
        <v>142</v>
      </c>
      <c r="H192" s="6" t="s">
        <v>20</v>
      </c>
      <c r="I192" s="5" t="s">
        <v>21</v>
      </c>
      <c r="J192" s="4" t="s">
        <v>22</v>
      </c>
      <c r="K192" s="2" t="s">
        <v>23</v>
      </c>
      <c r="L192" s="6" t="s">
        <v>24</v>
      </c>
      <c r="M192" s="5" t="s">
        <v>25</v>
      </c>
      <c r="N192" s="3" t="s">
        <v>26</v>
      </c>
      <c r="O192" s="5">
        <v>2</v>
      </c>
      <c r="P192" s="3" t="s">
        <v>23</v>
      </c>
      <c r="Q192" s="5"/>
    </row>
    <row r="193" spans="1:17" ht="93">
      <c r="A193" s="5">
        <v>188</v>
      </c>
      <c r="B193" s="6" t="s">
        <v>16</v>
      </c>
      <c r="C193" s="5" t="str">
        <f>HYPERLINK("http://data.overheid.nl/data/dataset/bodem","Bodem")</f>
        <v>Bodem</v>
      </c>
      <c r="D193" s="6" t="s">
        <v>17</v>
      </c>
      <c r="E193" s="5" t="s">
        <v>18</v>
      </c>
      <c r="F193" s="6" t="s">
        <v>813</v>
      </c>
      <c r="G193" s="5" t="s">
        <v>143</v>
      </c>
      <c r="H193" s="6" t="s">
        <v>20</v>
      </c>
      <c r="I193" s="5" t="s">
        <v>21</v>
      </c>
      <c r="J193" s="4" t="s">
        <v>22</v>
      </c>
      <c r="K193" s="2" t="s">
        <v>23</v>
      </c>
      <c r="L193" s="6" t="s">
        <v>24</v>
      </c>
      <c r="M193" s="5" t="s">
        <v>25</v>
      </c>
      <c r="N193" s="3" t="s">
        <v>26</v>
      </c>
      <c r="O193" s="5">
        <v>6</v>
      </c>
      <c r="P193" s="3" t="s">
        <v>23</v>
      </c>
      <c r="Q193" s="5"/>
    </row>
    <row r="194" spans="1:17" ht="31">
      <c r="A194" s="5">
        <v>189</v>
      </c>
      <c r="B194" s="6" t="s">
        <v>16</v>
      </c>
      <c r="C194" s="5" t="str">
        <f>HYPERLINK("http://data.overheid.nl/data/dataset/kilometerraaien-rws-zuid-holland","Kilometerraaien - RWS Zuid-Holland")</f>
        <v>Kilometerraaien - RWS Zuid-Holland</v>
      </c>
      <c r="D194" s="6" t="s">
        <v>17</v>
      </c>
      <c r="E194" s="5" t="s">
        <v>18</v>
      </c>
      <c r="F194" s="6" t="s">
        <v>813</v>
      </c>
      <c r="G194" s="5" t="s">
        <v>144</v>
      </c>
      <c r="H194" s="6" t="s">
        <v>20</v>
      </c>
      <c r="I194" s="5" t="s">
        <v>21</v>
      </c>
      <c r="J194" s="4" t="s">
        <v>22</v>
      </c>
      <c r="K194" s="2" t="s">
        <v>23</v>
      </c>
      <c r="L194" s="6" t="s">
        <v>24</v>
      </c>
      <c r="M194" s="5" t="s">
        <v>25</v>
      </c>
      <c r="N194" s="3" t="s">
        <v>26</v>
      </c>
      <c r="O194" s="5">
        <v>2</v>
      </c>
      <c r="P194" s="3" t="s">
        <v>23</v>
      </c>
      <c r="Q194" s="5"/>
    </row>
    <row r="195" spans="1:17" ht="31">
      <c r="A195" s="5">
        <v>190</v>
      </c>
      <c r="B195" s="6" t="s">
        <v>16</v>
      </c>
      <c r="C195" s="5" t="str">
        <f>HYPERLINK("http://data.overheid.nl/data/dataset/dieptegegevens-noordzee-obv-varierende-resolutie","Dieptegegevens Noordzee obv varierende resolutie")</f>
        <v>Dieptegegevens Noordzee obv varierende resolutie</v>
      </c>
      <c r="D195" s="6" t="s">
        <v>17</v>
      </c>
      <c r="E195" s="5" t="s">
        <v>18</v>
      </c>
      <c r="F195" s="6" t="s">
        <v>813</v>
      </c>
      <c r="G195" s="5" t="s">
        <v>145</v>
      </c>
      <c r="H195" s="6" t="s">
        <v>20</v>
      </c>
      <c r="I195" s="5" t="s">
        <v>21</v>
      </c>
      <c r="J195" s="4" t="s">
        <v>22</v>
      </c>
      <c r="K195" s="2" t="s">
        <v>23</v>
      </c>
      <c r="L195" s="6" t="s">
        <v>24</v>
      </c>
      <c r="M195" s="5" t="s">
        <v>25</v>
      </c>
      <c r="N195" s="3" t="s">
        <v>26</v>
      </c>
      <c r="O195" s="5">
        <v>2</v>
      </c>
      <c r="P195" s="3" t="s">
        <v>23</v>
      </c>
      <c r="Q195" s="5"/>
    </row>
    <row r="196" spans="1:17" ht="155">
      <c r="A196" s="5">
        <v>191</v>
      </c>
      <c r="B196" s="6" t="s">
        <v>16</v>
      </c>
      <c r="C196" s="5" t="str">
        <f>HYPERLINK("http://data.overheid.nl/data/dataset/ahn3-puntenwolk","AHN3 puntenwolk")</f>
        <v>AHN3 puntenwolk</v>
      </c>
      <c r="D196" s="6" t="s">
        <v>17</v>
      </c>
      <c r="E196" s="5" t="s">
        <v>18</v>
      </c>
      <c r="F196" s="6" t="s">
        <v>813</v>
      </c>
      <c r="G196" s="5" t="s">
        <v>146</v>
      </c>
      <c r="H196" s="6" t="s">
        <v>20</v>
      </c>
      <c r="I196" s="5" t="s">
        <v>21</v>
      </c>
      <c r="J196" s="4" t="s">
        <v>22</v>
      </c>
      <c r="K196" s="2" t="s">
        <v>23</v>
      </c>
      <c r="L196" s="6" t="s">
        <v>24</v>
      </c>
      <c r="M196" s="5" t="s">
        <v>25</v>
      </c>
      <c r="N196" s="3" t="s">
        <v>26</v>
      </c>
      <c r="O196" s="5">
        <v>1</v>
      </c>
      <c r="P196" s="3" t="s">
        <v>23</v>
      </c>
      <c r="Q196" s="5"/>
    </row>
    <row r="197" spans="1:17" ht="77.5">
      <c r="A197" s="5">
        <v>192</v>
      </c>
      <c r="B197" s="6" t="s">
        <v>16</v>
      </c>
      <c r="C197" s="5" t="str">
        <f>HYPERLINK("http://data.overheid.nl/data/dataset/ahn3-5-meter-dtm-maaiveld-raster-niet-opgevuld","AHN3 5 meter DTM (maaiveld raster, niet opgevuld)")</f>
        <v>AHN3 5 meter DTM (maaiveld raster, niet opgevuld)</v>
      </c>
      <c r="D197" s="6" t="s">
        <v>17</v>
      </c>
      <c r="E197" s="5" t="s">
        <v>18</v>
      </c>
      <c r="F197" s="6" t="s">
        <v>813</v>
      </c>
      <c r="G197" s="5" t="s">
        <v>147</v>
      </c>
      <c r="H197" s="6" t="s">
        <v>20</v>
      </c>
      <c r="I197" s="5" t="s">
        <v>21</v>
      </c>
      <c r="J197" s="4" t="s">
        <v>22</v>
      </c>
      <c r="K197" s="2" t="s">
        <v>23</v>
      </c>
      <c r="L197" s="6" t="s">
        <v>24</v>
      </c>
      <c r="M197" s="5" t="s">
        <v>25</v>
      </c>
      <c r="N197" s="3" t="s">
        <v>26</v>
      </c>
      <c r="O197" s="5">
        <v>4</v>
      </c>
      <c r="P197" s="3" t="s">
        <v>23</v>
      </c>
      <c r="Q197" s="5"/>
    </row>
    <row r="198" spans="1:17" ht="77.5">
      <c r="A198" s="5">
        <v>193</v>
      </c>
      <c r="B198" s="6" t="s">
        <v>16</v>
      </c>
      <c r="C198" s="5" t="str">
        <f>HYPERLINK("http://data.overheid.nl/data/dataset/ahn3-5-meter-dsm","AHN3 5 meter DSM")</f>
        <v>AHN3 5 meter DSM</v>
      </c>
      <c r="D198" s="6" t="s">
        <v>17</v>
      </c>
      <c r="E198" s="5" t="s">
        <v>18</v>
      </c>
      <c r="F198" s="6" t="s">
        <v>813</v>
      </c>
      <c r="G198" s="5" t="s">
        <v>148</v>
      </c>
      <c r="H198" s="6" t="s">
        <v>20</v>
      </c>
      <c r="I198" s="5" t="s">
        <v>21</v>
      </c>
      <c r="J198" s="4" t="s">
        <v>22</v>
      </c>
      <c r="K198" s="2" t="s">
        <v>23</v>
      </c>
      <c r="L198" s="6" t="s">
        <v>24</v>
      </c>
      <c r="M198" s="5" t="s">
        <v>25</v>
      </c>
      <c r="N198" s="3" t="s">
        <v>26</v>
      </c>
      <c r="O198" s="5">
        <v>4</v>
      </c>
      <c r="P198" s="3" t="s">
        <v>23</v>
      </c>
      <c r="Q198" s="5"/>
    </row>
    <row r="199" spans="1:17" ht="108.5">
      <c r="A199" s="5">
        <v>194</v>
      </c>
      <c r="B199" s="6" t="s">
        <v>16</v>
      </c>
      <c r="C199" s="5" t="str">
        <f>HYPERLINK("http://data.overheid.nl/data/dataset/ahn3-0-5-meter-dtm-maaiveld-raster","AHN3 0,5 meter DTM (maaiveld raster)")</f>
        <v>AHN3 0,5 meter DTM (maaiveld raster)</v>
      </c>
      <c r="D199" s="6" t="s">
        <v>17</v>
      </c>
      <c r="E199" s="5" t="s">
        <v>18</v>
      </c>
      <c r="F199" s="6" t="s">
        <v>813</v>
      </c>
      <c r="G199" s="5" t="s">
        <v>149</v>
      </c>
      <c r="H199" s="6" t="s">
        <v>20</v>
      </c>
      <c r="I199" s="5" t="s">
        <v>21</v>
      </c>
      <c r="J199" s="4" t="s">
        <v>22</v>
      </c>
      <c r="K199" s="2" t="s">
        <v>23</v>
      </c>
      <c r="L199" s="6" t="s">
        <v>24</v>
      </c>
      <c r="M199" s="5" t="s">
        <v>25</v>
      </c>
      <c r="N199" s="3" t="s">
        <v>26</v>
      </c>
      <c r="O199" s="5">
        <v>4</v>
      </c>
      <c r="P199" s="3" t="s">
        <v>23</v>
      </c>
      <c r="Q199" s="5"/>
    </row>
    <row r="200" spans="1:17" ht="77.5">
      <c r="A200" s="5">
        <v>195</v>
      </c>
      <c r="B200" s="6" t="s">
        <v>16</v>
      </c>
      <c r="C200" s="5" t="str">
        <f>HYPERLINK("http://data.overheid.nl/data/dataset/ahn3-0-5-meter-dsm","AHN3 0,5 meter DSM")</f>
        <v>AHN3 0,5 meter DSM</v>
      </c>
      <c r="D200" s="6" t="s">
        <v>17</v>
      </c>
      <c r="E200" s="5" t="s">
        <v>18</v>
      </c>
      <c r="F200" s="6" t="s">
        <v>813</v>
      </c>
      <c r="G200" s="5" t="s">
        <v>150</v>
      </c>
      <c r="H200" s="6" t="s">
        <v>20</v>
      </c>
      <c r="I200" s="5" t="s">
        <v>21</v>
      </c>
      <c r="J200" s="4" t="s">
        <v>22</v>
      </c>
      <c r="K200" s="2" t="s">
        <v>23</v>
      </c>
      <c r="L200" s="6" t="s">
        <v>24</v>
      </c>
      <c r="M200" s="5" t="s">
        <v>25</v>
      </c>
      <c r="N200" s="3" t="s">
        <v>26</v>
      </c>
      <c r="O200" s="5">
        <v>4</v>
      </c>
      <c r="P200" s="3" t="s">
        <v>23</v>
      </c>
      <c r="Q200" s="5"/>
    </row>
    <row r="201" spans="1:17" ht="46.5">
      <c r="A201" s="5">
        <v>196</v>
      </c>
      <c r="B201" s="6" t="s">
        <v>16</v>
      </c>
      <c r="C201" s="5" t="str">
        <f>HYPERLINK("http://data.overheid.nl/data/dataset/databestand-grootschalig-verkeersonderzoek-flevoland-2003","Databestand Grootschalig Verkeersonderzoek Flevoland 2003")</f>
        <v>Databestand Grootschalig Verkeersonderzoek Flevoland 2003</v>
      </c>
      <c r="D201" s="6" t="s">
        <v>17</v>
      </c>
      <c r="E201" s="5" t="s">
        <v>18</v>
      </c>
      <c r="F201" s="6" t="s">
        <v>813</v>
      </c>
      <c r="G201" s="5" t="s">
        <v>151</v>
      </c>
      <c r="H201" s="6" t="s">
        <v>20</v>
      </c>
      <c r="I201" s="5" t="s">
        <v>21</v>
      </c>
      <c r="J201" s="4" t="s">
        <v>22</v>
      </c>
      <c r="K201" s="2" t="s">
        <v>23</v>
      </c>
      <c r="L201" s="6" t="s">
        <v>24</v>
      </c>
      <c r="M201" s="5" t="s">
        <v>25</v>
      </c>
      <c r="N201" s="3" t="s">
        <v>26</v>
      </c>
      <c r="O201" s="5">
        <v>1</v>
      </c>
      <c r="P201" s="3" t="s">
        <v>23</v>
      </c>
      <c r="Q201" s="5"/>
    </row>
    <row r="202" spans="1:17" ht="108.5">
      <c r="A202" s="5">
        <v>197</v>
      </c>
      <c r="B202" s="6" t="s">
        <v>16</v>
      </c>
      <c r="C202" s="5" t="str">
        <f>HYPERLINK("http://data.overheid.nl/data/dataset/kustlijnkaart-2008-berekende-trendwaarden-schaal-50000","Kustlijnkaart 2008: Berekende trendwaarden schaal (50000)")</f>
        <v>Kustlijnkaart 2008: Berekende trendwaarden schaal (50000)</v>
      </c>
      <c r="D202" s="6" t="s">
        <v>17</v>
      </c>
      <c r="E202" s="5" t="s">
        <v>18</v>
      </c>
      <c r="F202" s="6" t="s">
        <v>813</v>
      </c>
      <c r="G202" s="5" t="s">
        <v>152</v>
      </c>
      <c r="H202" s="6" t="s">
        <v>20</v>
      </c>
      <c r="I202" s="5" t="s">
        <v>21</v>
      </c>
      <c r="J202" s="4" t="s">
        <v>22</v>
      </c>
      <c r="K202" s="2" t="s">
        <v>23</v>
      </c>
      <c r="L202" s="6" t="s">
        <v>24</v>
      </c>
      <c r="M202" s="5" t="s">
        <v>25</v>
      </c>
      <c r="N202" s="3" t="s">
        <v>26</v>
      </c>
      <c r="O202" s="5">
        <v>2</v>
      </c>
      <c r="P202" s="3" t="s">
        <v>23</v>
      </c>
      <c r="Q202" s="5"/>
    </row>
    <row r="203" spans="1:17" ht="108.5">
      <c r="A203" s="5">
        <v>198</v>
      </c>
      <c r="B203" s="6" t="s">
        <v>16</v>
      </c>
      <c r="C203" s="5" t="str">
        <f>HYPERLINK("http://data.overheid.nl/data/dataset/kustlijnkaart-2008-berekende-trendwaarden-schaal-25000","Kustlijnkaart 2008: Berekende trendwaarden schaal (25000)")</f>
        <v>Kustlijnkaart 2008: Berekende trendwaarden schaal (25000)</v>
      </c>
      <c r="D203" s="6" t="s">
        <v>17</v>
      </c>
      <c r="E203" s="5" t="s">
        <v>18</v>
      </c>
      <c r="F203" s="6" t="s">
        <v>813</v>
      </c>
      <c r="G203" s="5" t="s">
        <v>152</v>
      </c>
      <c r="H203" s="6" t="s">
        <v>20</v>
      </c>
      <c r="I203" s="5" t="s">
        <v>21</v>
      </c>
      <c r="J203" s="4" t="s">
        <v>22</v>
      </c>
      <c r="K203" s="2" t="s">
        <v>23</v>
      </c>
      <c r="L203" s="6" t="s">
        <v>24</v>
      </c>
      <c r="M203" s="5" t="s">
        <v>25</v>
      </c>
      <c r="N203" s="3" t="s">
        <v>26</v>
      </c>
      <c r="O203" s="5">
        <v>4</v>
      </c>
      <c r="P203" s="3" t="s">
        <v>23</v>
      </c>
      <c r="Q203" s="5"/>
    </row>
    <row r="204" spans="1:17" ht="108.5">
      <c r="A204" s="5">
        <v>199</v>
      </c>
      <c r="B204" s="6" t="s">
        <v>16</v>
      </c>
      <c r="C204" s="5" t="str">
        <f>HYPERLINK("http://data.overheid.nl/data/dataset/kustlijnkaart-2008-berekende-trendwaarden-schaal-100000","Kustlijnkaart 2008: Berekende trendwaarden schaal (100000)")</f>
        <v>Kustlijnkaart 2008: Berekende trendwaarden schaal (100000)</v>
      </c>
      <c r="D204" s="6" t="s">
        <v>17</v>
      </c>
      <c r="E204" s="5" t="s">
        <v>18</v>
      </c>
      <c r="F204" s="6" t="s">
        <v>813</v>
      </c>
      <c r="G204" s="5" t="s">
        <v>152</v>
      </c>
      <c r="H204" s="6" t="s">
        <v>20</v>
      </c>
      <c r="I204" s="5" t="s">
        <v>21</v>
      </c>
      <c r="J204" s="4" t="s">
        <v>22</v>
      </c>
      <c r="K204" s="2" t="s">
        <v>23</v>
      </c>
      <c r="L204" s="6" t="s">
        <v>24</v>
      </c>
      <c r="M204" s="5" t="s">
        <v>25</v>
      </c>
      <c r="N204" s="3" t="s">
        <v>26</v>
      </c>
      <c r="O204" s="5">
        <v>2</v>
      </c>
      <c r="P204" s="3" t="s">
        <v>23</v>
      </c>
      <c r="Q204" s="5"/>
    </row>
    <row r="205" spans="1:17" ht="108.5">
      <c r="A205" s="5">
        <v>200</v>
      </c>
      <c r="B205" s="6" t="s">
        <v>16</v>
      </c>
      <c r="C205" s="5" t="str">
        <f>HYPERLINK("http://data.overheid.nl/data/dataset/kustlijnkaart-2007-berekende-trendwaarden-schaal-50000","Kustlijnkaart 2007: Berekende trendwaarden schaal (50000)")</f>
        <v>Kustlijnkaart 2007: Berekende trendwaarden schaal (50000)</v>
      </c>
      <c r="D205" s="6" t="s">
        <v>17</v>
      </c>
      <c r="E205" s="5" t="s">
        <v>18</v>
      </c>
      <c r="F205" s="6" t="s">
        <v>813</v>
      </c>
      <c r="G205" s="5" t="s">
        <v>153</v>
      </c>
      <c r="H205" s="6" t="s">
        <v>20</v>
      </c>
      <c r="I205" s="5" t="s">
        <v>21</v>
      </c>
      <c r="J205" s="4" t="s">
        <v>22</v>
      </c>
      <c r="K205" s="2" t="s">
        <v>23</v>
      </c>
      <c r="L205" s="6" t="s">
        <v>24</v>
      </c>
      <c r="M205" s="5" t="s">
        <v>25</v>
      </c>
      <c r="N205" s="3" t="s">
        <v>26</v>
      </c>
      <c r="O205" s="5">
        <v>2</v>
      </c>
      <c r="P205" s="3" t="s">
        <v>23</v>
      </c>
      <c r="Q205" s="5"/>
    </row>
    <row r="206" spans="1:17" ht="108.5">
      <c r="A206" s="5">
        <v>201</v>
      </c>
      <c r="B206" s="6" t="s">
        <v>16</v>
      </c>
      <c r="C206" s="5" t="str">
        <f>HYPERLINK("http://data.overheid.nl/data/dataset/kustlijnkaart-2007-berekende-trendwaarden-schaal-25000","Kustlijnkaart 2007: Berekende trendwaarden schaal (25000)")</f>
        <v>Kustlijnkaart 2007: Berekende trendwaarden schaal (25000)</v>
      </c>
      <c r="D206" s="6" t="s">
        <v>17</v>
      </c>
      <c r="E206" s="5" t="s">
        <v>18</v>
      </c>
      <c r="F206" s="6" t="s">
        <v>813</v>
      </c>
      <c r="G206" s="5" t="s">
        <v>153</v>
      </c>
      <c r="H206" s="6" t="s">
        <v>20</v>
      </c>
      <c r="I206" s="5" t="s">
        <v>21</v>
      </c>
      <c r="J206" s="4" t="s">
        <v>22</v>
      </c>
      <c r="K206" s="2" t="s">
        <v>23</v>
      </c>
      <c r="L206" s="6" t="s">
        <v>24</v>
      </c>
      <c r="M206" s="5" t="s">
        <v>25</v>
      </c>
      <c r="N206" s="3" t="s">
        <v>26</v>
      </c>
      <c r="O206" s="5">
        <v>2</v>
      </c>
      <c r="P206" s="3" t="s">
        <v>23</v>
      </c>
      <c r="Q206" s="5"/>
    </row>
    <row r="207" spans="1:17" ht="108.5">
      <c r="A207" s="5">
        <v>202</v>
      </c>
      <c r="B207" s="6" t="s">
        <v>16</v>
      </c>
      <c r="C207" s="5" t="str">
        <f>HYPERLINK("http://data.overheid.nl/data/dataset/kustlijnkaart-2007-berekende-trendwaarden-schaal-100000","Kustlijnkaart 2007: Berekende trendwaarden schaal (100000)")</f>
        <v>Kustlijnkaart 2007: Berekende trendwaarden schaal (100000)</v>
      </c>
      <c r="D207" s="6" t="s">
        <v>17</v>
      </c>
      <c r="E207" s="5" t="s">
        <v>18</v>
      </c>
      <c r="F207" s="6" t="s">
        <v>813</v>
      </c>
      <c r="G207" s="5" t="s">
        <v>153</v>
      </c>
      <c r="H207" s="6" t="s">
        <v>20</v>
      </c>
      <c r="I207" s="5" t="s">
        <v>21</v>
      </c>
      <c r="J207" s="4" t="s">
        <v>22</v>
      </c>
      <c r="K207" s="2" t="s">
        <v>23</v>
      </c>
      <c r="L207" s="6" t="s">
        <v>24</v>
      </c>
      <c r="M207" s="5" t="s">
        <v>25</v>
      </c>
      <c r="N207" s="3" t="s">
        <v>26</v>
      </c>
      <c r="O207" s="5">
        <v>2</v>
      </c>
      <c r="P207" s="3" t="s">
        <v>23</v>
      </c>
      <c r="Q207" s="5"/>
    </row>
    <row r="208" spans="1:17" ht="108.5">
      <c r="A208" s="5">
        <v>203</v>
      </c>
      <c r="B208" s="6" t="s">
        <v>16</v>
      </c>
      <c r="C208" s="5" t="str">
        <f>HYPERLINK("http://data.overheid.nl/data/dataset/kustlijnkaart-2006-berekende-trendwaarden-schaal-50000","Kustlijnkaart 2006: Berekende trendwaarden schaal (50000)")</f>
        <v>Kustlijnkaart 2006: Berekende trendwaarden schaal (50000)</v>
      </c>
      <c r="D208" s="6" t="s">
        <v>17</v>
      </c>
      <c r="E208" s="5" t="s">
        <v>18</v>
      </c>
      <c r="F208" s="6" t="s">
        <v>813</v>
      </c>
      <c r="G208" s="5" t="s">
        <v>154</v>
      </c>
      <c r="H208" s="6" t="s">
        <v>20</v>
      </c>
      <c r="I208" s="5" t="s">
        <v>21</v>
      </c>
      <c r="J208" s="4" t="s">
        <v>22</v>
      </c>
      <c r="K208" s="2" t="s">
        <v>23</v>
      </c>
      <c r="L208" s="6" t="s">
        <v>24</v>
      </c>
      <c r="M208" s="5" t="s">
        <v>25</v>
      </c>
      <c r="N208" s="3" t="s">
        <v>26</v>
      </c>
      <c r="O208" s="5">
        <v>2</v>
      </c>
      <c r="P208" s="3" t="s">
        <v>23</v>
      </c>
      <c r="Q208" s="5"/>
    </row>
    <row r="209" spans="1:17" ht="108.5">
      <c r="A209" s="5">
        <v>204</v>
      </c>
      <c r="B209" s="6" t="s">
        <v>16</v>
      </c>
      <c r="C209" s="5" t="str">
        <f>HYPERLINK("http://data.overheid.nl/data/dataset/kustlijnkaart-2006-berekende-trendwaarden-schaal-25000","Kustlijnkaart 2006: Berekende trendwaarden schaal (25000)")</f>
        <v>Kustlijnkaart 2006: Berekende trendwaarden schaal (25000)</v>
      </c>
      <c r="D209" s="6" t="s">
        <v>17</v>
      </c>
      <c r="E209" s="5" t="s">
        <v>18</v>
      </c>
      <c r="F209" s="6" t="s">
        <v>813</v>
      </c>
      <c r="G209" s="5" t="s">
        <v>154</v>
      </c>
      <c r="H209" s="6" t="s">
        <v>20</v>
      </c>
      <c r="I209" s="5" t="s">
        <v>21</v>
      </c>
      <c r="J209" s="4" t="s">
        <v>22</v>
      </c>
      <c r="K209" s="2" t="s">
        <v>23</v>
      </c>
      <c r="L209" s="6" t="s">
        <v>24</v>
      </c>
      <c r="M209" s="5" t="s">
        <v>25</v>
      </c>
      <c r="N209" s="3" t="s">
        <v>26</v>
      </c>
      <c r="O209" s="5">
        <v>2</v>
      </c>
      <c r="P209" s="3" t="s">
        <v>23</v>
      </c>
      <c r="Q209" s="5"/>
    </row>
    <row r="210" spans="1:17" ht="108.5">
      <c r="A210" s="5">
        <v>205</v>
      </c>
      <c r="B210" s="6" t="s">
        <v>16</v>
      </c>
      <c r="C210" s="5" t="str">
        <f>HYPERLINK("http://data.overheid.nl/data/dataset/kustlijnkaart-2006-berekende-trendwaarden-schaal-100000","Kustlijnkaart 2006: Berekende trendwaarden schaal (100000)")</f>
        <v>Kustlijnkaart 2006: Berekende trendwaarden schaal (100000)</v>
      </c>
      <c r="D210" s="6" t="s">
        <v>17</v>
      </c>
      <c r="E210" s="5" t="s">
        <v>18</v>
      </c>
      <c r="F210" s="6" t="s">
        <v>813</v>
      </c>
      <c r="G210" s="5" t="s">
        <v>154</v>
      </c>
      <c r="H210" s="6" t="s">
        <v>20</v>
      </c>
      <c r="I210" s="5" t="s">
        <v>21</v>
      </c>
      <c r="J210" s="4" t="s">
        <v>22</v>
      </c>
      <c r="K210" s="2" t="s">
        <v>23</v>
      </c>
      <c r="L210" s="6" t="s">
        <v>24</v>
      </c>
      <c r="M210" s="5" t="s">
        <v>25</v>
      </c>
      <c r="N210" s="3" t="s">
        <v>26</v>
      </c>
      <c r="O210" s="5">
        <v>2</v>
      </c>
      <c r="P210" s="3" t="s">
        <v>23</v>
      </c>
      <c r="Q210" s="5"/>
    </row>
    <row r="211" spans="1:17" ht="62">
      <c r="A211" s="5">
        <v>206</v>
      </c>
      <c r="B211" s="6" t="s">
        <v>16</v>
      </c>
      <c r="C211" s="5" t="str">
        <f>HYPERLINK("http://data.overheid.nl/data/dataset/overzicht-vlieglijnen-westerschelde-2013","Overzicht vlieglijnen Westerschelde 2013")</f>
        <v>Overzicht vlieglijnen Westerschelde 2013</v>
      </c>
      <c r="D211" s="6" t="s">
        <v>17</v>
      </c>
      <c r="E211" s="5" t="s">
        <v>18</v>
      </c>
      <c r="F211" s="6" t="s">
        <v>813</v>
      </c>
      <c r="G211" s="5" t="s">
        <v>155</v>
      </c>
      <c r="H211" s="6" t="s">
        <v>20</v>
      </c>
      <c r="I211" s="5" t="s">
        <v>21</v>
      </c>
      <c r="J211" s="4" t="s">
        <v>22</v>
      </c>
      <c r="K211" s="2" t="s">
        <v>23</v>
      </c>
      <c r="L211" s="6" t="s">
        <v>24</v>
      </c>
      <c r="M211" s="5" t="s">
        <v>25</v>
      </c>
      <c r="N211" s="3" t="s">
        <v>26</v>
      </c>
      <c r="O211" s="5">
        <v>2</v>
      </c>
      <c r="P211" s="3" t="s">
        <v>23</v>
      </c>
      <c r="Q211" s="5"/>
    </row>
    <row r="212" spans="1:17" ht="46.5">
      <c r="A212" s="5">
        <v>207</v>
      </c>
      <c r="B212" s="6" t="s">
        <v>16</v>
      </c>
      <c r="C212" s="5" t="str">
        <f>HYPERLINK("http://data.overheid.nl/data/dataset/overzicht-vlieglijnen-oosterschelde-2013","Overzicht vlieglijnen Oosterschelde 2013")</f>
        <v>Overzicht vlieglijnen Oosterschelde 2013</v>
      </c>
      <c r="D212" s="6" t="s">
        <v>17</v>
      </c>
      <c r="E212" s="5" t="s">
        <v>18</v>
      </c>
      <c r="F212" s="6" t="s">
        <v>813</v>
      </c>
      <c r="G212" s="5" t="s">
        <v>156</v>
      </c>
      <c r="H212" s="6" t="s">
        <v>20</v>
      </c>
      <c r="I212" s="5" t="s">
        <v>21</v>
      </c>
      <c r="J212" s="4" t="s">
        <v>22</v>
      </c>
      <c r="K212" s="2" t="s">
        <v>23</v>
      </c>
      <c r="L212" s="6" t="s">
        <v>24</v>
      </c>
      <c r="M212" s="5" t="s">
        <v>25</v>
      </c>
      <c r="N212" s="3" t="s">
        <v>26</v>
      </c>
      <c r="O212" s="5">
        <v>2</v>
      </c>
      <c r="P212" s="3" t="s">
        <v>23</v>
      </c>
      <c r="Q212" s="5"/>
    </row>
    <row r="213" spans="1:17" ht="62">
      <c r="A213" s="5">
        <v>208</v>
      </c>
      <c r="B213" s="6" t="s">
        <v>16</v>
      </c>
      <c r="C213" s="5" t="str">
        <f>HYPERLINK("http://data.overheid.nl/data/dataset/hoogtebestand-westerschelde-2013","Hoogtebestand Westerschelde 2013")</f>
        <v>Hoogtebestand Westerschelde 2013</v>
      </c>
      <c r="D213" s="6" t="s">
        <v>17</v>
      </c>
      <c r="E213" s="5" t="s">
        <v>18</v>
      </c>
      <c r="F213" s="6" t="s">
        <v>813</v>
      </c>
      <c r="G213" s="5" t="s">
        <v>157</v>
      </c>
      <c r="H213" s="6" t="s">
        <v>20</v>
      </c>
      <c r="I213" s="5" t="s">
        <v>21</v>
      </c>
      <c r="J213" s="4" t="s">
        <v>22</v>
      </c>
      <c r="K213" s="2" t="s">
        <v>23</v>
      </c>
      <c r="L213" s="6" t="s">
        <v>24</v>
      </c>
      <c r="M213" s="5" t="s">
        <v>25</v>
      </c>
      <c r="N213" s="3" t="s">
        <v>26</v>
      </c>
      <c r="O213" s="5">
        <v>2</v>
      </c>
      <c r="P213" s="3" t="s">
        <v>23</v>
      </c>
      <c r="Q213" s="5"/>
    </row>
    <row r="214" spans="1:17" ht="62">
      <c r="A214" s="5">
        <v>209</v>
      </c>
      <c r="B214" s="6" t="s">
        <v>16</v>
      </c>
      <c r="C214" s="5" t="str">
        <f>HYPERLINK("http://data.overheid.nl/data/dataset/hoogtebestand-oosterschelde-2013","Hoogtebestand Oosterschelde 2013")</f>
        <v>Hoogtebestand Oosterschelde 2013</v>
      </c>
      <c r="D214" s="6" t="s">
        <v>17</v>
      </c>
      <c r="E214" s="5" t="s">
        <v>18</v>
      </c>
      <c r="F214" s="6" t="s">
        <v>813</v>
      </c>
      <c r="G214" s="5" t="s">
        <v>158</v>
      </c>
      <c r="H214" s="6" t="s">
        <v>20</v>
      </c>
      <c r="I214" s="5" t="s">
        <v>21</v>
      </c>
      <c r="J214" s="4" t="s">
        <v>22</v>
      </c>
      <c r="K214" s="2" t="s">
        <v>23</v>
      </c>
      <c r="L214" s="6" t="s">
        <v>24</v>
      </c>
      <c r="M214" s="5" t="s">
        <v>25</v>
      </c>
      <c r="N214" s="3" t="s">
        <v>26</v>
      </c>
      <c r="O214" s="5">
        <v>2</v>
      </c>
      <c r="P214" s="3" t="s">
        <v>23</v>
      </c>
      <c r="Q214" s="5"/>
    </row>
    <row r="215" spans="1:17" ht="201.5">
      <c r="A215" s="5">
        <v>210</v>
      </c>
      <c r="B215" s="6" t="s">
        <v>16</v>
      </c>
      <c r="C215" s="5" t="str">
        <f>HYPERLINK("http://data.overheid.nl/data/dataset/vaarweg-informatie-nederland-bevaarbaarheidsinformatie-01","Vaarweg Informatie Nederland bevaarbaarheidsinformatie")</f>
        <v>Vaarweg Informatie Nederland bevaarbaarheidsinformatie</v>
      </c>
      <c r="D215" s="6" t="s">
        <v>17</v>
      </c>
      <c r="E215" s="5" t="s">
        <v>18</v>
      </c>
      <c r="F215" s="6" t="s">
        <v>813</v>
      </c>
      <c r="G215" s="5" t="s">
        <v>46</v>
      </c>
      <c r="H215" s="6" t="s">
        <v>20</v>
      </c>
      <c r="I215" s="5" t="s">
        <v>21</v>
      </c>
      <c r="J215" s="4" t="s">
        <v>22</v>
      </c>
      <c r="K215" s="2" t="s">
        <v>23</v>
      </c>
      <c r="L215" s="6" t="s">
        <v>24</v>
      </c>
      <c r="M215" s="5" t="s">
        <v>25</v>
      </c>
      <c r="N215" s="3" t="s">
        <v>26</v>
      </c>
      <c r="O215" s="5">
        <v>4</v>
      </c>
      <c r="P215" s="3" t="s">
        <v>23</v>
      </c>
      <c r="Q215" s="5"/>
    </row>
    <row r="216" spans="1:17" ht="139.5">
      <c r="A216" s="5">
        <v>211</v>
      </c>
      <c r="B216" s="6" t="s">
        <v>16</v>
      </c>
      <c r="C216" s="5" t="str">
        <f>HYPERLINK("http://data.overheid.nl/data/dataset/asbest-gebouwen-scholen","Asbest Gebouwen Scholen")</f>
        <v>Asbest Gebouwen Scholen</v>
      </c>
      <c r="D216" s="6" t="s">
        <v>17</v>
      </c>
      <c r="E216" s="5" t="s">
        <v>159</v>
      </c>
      <c r="F216" s="6" t="s">
        <v>813</v>
      </c>
      <c r="G216" s="5" t="s">
        <v>160</v>
      </c>
      <c r="H216" s="6" t="s">
        <v>28</v>
      </c>
      <c r="I216" s="5" t="s">
        <v>21</v>
      </c>
      <c r="J216" s="4" t="s">
        <v>22</v>
      </c>
      <c r="K216" s="2" t="s">
        <v>23</v>
      </c>
      <c r="L216" s="6" t="s">
        <v>24</v>
      </c>
      <c r="M216" s="5" t="s">
        <v>25</v>
      </c>
      <c r="N216" s="3" t="s">
        <v>26</v>
      </c>
      <c r="O216" s="5">
        <v>1</v>
      </c>
      <c r="P216" s="3" t="s">
        <v>23</v>
      </c>
      <c r="Q216" s="5"/>
    </row>
    <row r="217" spans="1:17" ht="46.5">
      <c r="A217" s="5">
        <v>212</v>
      </c>
      <c r="B217" s="6" t="s">
        <v>16</v>
      </c>
      <c r="C217" s="5" t="str">
        <f>HYPERLINK("http://data.overheid.nl/data/dataset/orthofotomozaiek-ijsselmeer-falsecolor-2011-01","Orthofotomozaiek_Ijsselmeer_Falsecolor_2011")</f>
        <v>Orthofotomozaiek_Ijsselmeer_Falsecolor_2011</v>
      </c>
      <c r="D217" s="6" t="s">
        <v>17</v>
      </c>
      <c r="E217" s="5" t="s">
        <v>18</v>
      </c>
      <c r="F217" s="6" t="s">
        <v>813</v>
      </c>
      <c r="G217" s="5" t="s">
        <v>161</v>
      </c>
      <c r="H217" s="6" t="s">
        <v>20</v>
      </c>
      <c r="I217" s="5" t="s">
        <v>21</v>
      </c>
      <c r="J217" s="4" t="s">
        <v>22</v>
      </c>
      <c r="K217" s="2" t="s">
        <v>23</v>
      </c>
      <c r="L217" s="6" t="s">
        <v>24</v>
      </c>
      <c r="M217" s="5" t="s">
        <v>25</v>
      </c>
      <c r="N217" s="3" t="s">
        <v>26</v>
      </c>
      <c r="O217" s="5">
        <v>2</v>
      </c>
      <c r="P217" s="3" t="s">
        <v>23</v>
      </c>
      <c r="Q217" s="5"/>
    </row>
    <row r="218" spans="1:17" ht="46.5">
      <c r="A218" s="5">
        <v>213</v>
      </c>
      <c r="B218" s="6" t="s">
        <v>16</v>
      </c>
      <c r="C218" s="5" t="str">
        <f>HYPERLINK("http://data.overheid.nl/data/dataset/orthofotomozaiek-ijsselmeer-falsecolor-2011","Orthofotomozaiek_Ijsselmeer_Falsecolor_2011")</f>
        <v>Orthofotomozaiek_Ijsselmeer_Falsecolor_2011</v>
      </c>
      <c r="D218" s="6" t="s">
        <v>17</v>
      </c>
      <c r="E218" s="5" t="s">
        <v>18</v>
      </c>
      <c r="F218" s="6" t="s">
        <v>813</v>
      </c>
      <c r="G218" s="5" t="s">
        <v>161</v>
      </c>
      <c r="H218" s="6" t="s">
        <v>20</v>
      </c>
      <c r="I218" s="5" t="s">
        <v>21</v>
      </c>
      <c r="J218" s="4" t="s">
        <v>22</v>
      </c>
      <c r="K218" s="2" t="s">
        <v>23</v>
      </c>
      <c r="L218" s="6" t="s">
        <v>24</v>
      </c>
      <c r="M218" s="5" t="s">
        <v>25</v>
      </c>
      <c r="N218" s="3" t="s">
        <v>26</v>
      </c>
      <c r="O218" s="5">
        <v>2</v>
      </c>
      <c r="P218" s="3" t="s">
        <v>23</v>
      </c>
      <c r="Q218" s="5"/>
    </row>
    <row r="219" spans="1:17" ht="31">
      <c r="A219" s="5">
        <v>214</v>
      </c>
      <c r="B219" s="6" t="s">
        <v>16</v>
      </c>
      <c r="C219" s="5" t="str">
        <f>HYPERLINK("http://data.overheid.nl/data/dataset/vegwad-vlieland-2009-orthofotomozaiek-falsecolor-ecw","VEGWAD_Vlieland_2009_orthofotomozaiek_falsecolor_ECW")</f>
        <v>VEGWAD_Vlieland_2009_orthofotomozaiek_falsecolor_ECW</v>
      </c>
      <c r="D219" s="6" t="s">
        <v>17</v>
      </c>
      <c r="E219" s="5" t="s">
        <v>18</v>
      </c>
      <c r="F219" s="6" t="s">
        <v>813</v>
      </c>
      <c r="G219" s="5" t="s">
        <v>162</v>
      </c>
      <c r="H219" s="6" t="s">
        <v>20</v>
      </c>
      <c r="I219" s="5" t="s">
        <v>21</v>
      </c>
      <c r="J219" s="4" t="s">
        <v>22</v>
      </c>
      <c r="K219" s="2" t="s">
        <v>23</v>
      </c>
      <c r="L219" s="6" t="s">
        <v>24</v>
      </c>
      <c r="M219" s="5" t="s">
        <v>25</v>
      </c>
      <c r="N219" s="3" t="s">
        <v>26</v>
      </c>
      <c r="O219" s="5">
        <v>2</v>
      </c>
      <c r="P219" s="3" t="s">
        <v>23</v>
      </c>
      <c r="Q219" s="5"/>
    </row>
    <row r="220" spans="1:17" ht="46.5">
      <c r="A220" s="5">
        <v>215</v>
      </c>
      <c r="B220" s="6" t="s">
        <v>16</v>
      </c>
      <c r="C220" s="5" t="str">
        <f>HYPERLINK("http://data.overheid.nl/data/dataset/vegwad-terschelling-2009-orthofotomozaiek-falsecolor-ecw","VEGWAD_Terschelling_2009_orthofotomozaiek_falsecolor_ECW")</f>
        <v>VEGWAD_Terschelling_2009_orthofotomozaiek_falsecolor_ECW</v>
      </c>
      <c r="D220" s="6" t="s">
        <v>17</v>
      </c>
      <c r="E220" s="5" t="s">
        <v>18</v>
      </c>
      <c r="F220" s="6" t="s">
        <v>813</v>
      </c>
      <c r="G220" s="5" t="s">
        <v>163</v>
      </c>
      <c r="H220" s="6" t="s">
        <v>20</v>
      </c>
      <c r="I220" s="5" t="s">
        <v>21</v>
      </c>
      <c r="J220" s="4" t="s">
        <v>22</v>
      </c>
      <c r="K220" s="2" t="s">
        <v>23</v>
      </c>
      <c r="L220" s="6" t="s">
        <v>24</v>
      </c>
      <c r="M220" s="5" t="s">
        <v>25</v>
      </c>
      <c r="N220" s="3" t="s">
        <v>26</v>
      </c>
      <c r="O220" s="5">
        <v>2</v>
      </c>
      <c r="P220" s="3" t="s">
        <v>23</v>
      </c>
      <c r="Q220" s="5"/>
    </row>
    <row r="221" spans="1:17" ht="46.5">
      <c r="A221" s="5">
        <v>216</v>
      </c>
      <c r="B221" s="6" t="s">
        <v>16</v>
      </c>
      <c r="C221" s="5" t="str">
        <f>HYPERLINK("http://data.overheid.nl/data/dataset/orthofotomozaiek-van-westerschelde-2013-falsecolor-tbv-vegwad","Orthofotomozaiek van Westerschelde_2013 (falsecolor) tbv VEGWAD")</f>
        <v>Orthofotomozaiek van Westerschelde_2013 (falsecolor) tbv VEGWAD</v>
      </c>
      <c r="D221" s="6" t="s">
        <v>17</v>
      </c>
      <c r="E221" s="5" t="s">
        <v>18</v>
      </c>
      <c r="F221" s="6" t="s">
        <v>813</v>
      </c>
      <c r="G221" s="5" t="s">
        <v>164</v>
      </c>
      <c r="H221" s="6" t="s">
        <v>20</v>
      </c>
      <c r="I221" s="5" t="s">
        <v>21</v>
      </c>
      <c r="J221" s="4" t="s">
        <v>22</v>
      </c>
      <c r="K221" s="2" t="s">
        <v>23</v>
      </c>
      <c r="L221" s="6" t="s">
        <v>24</v>
      </c>
      <c r="M221" s="5" t="s">
        <v>25</v>
      </c>
      <c r="N221" s="3" t="s">
        <v>26</v>
      </c>
      <c r="O221" s="5">
        <v>2</v>
      </c>
      <c r="P221" s="3" t="s">
        <v>23</v>
      </c>
      <c r="Q221" s="5"/>
    </row>
    <row r="222" spans="1:17" ht="31">
      <c r="A222" s="5">
        <v>217</v>
      </c>
      <c r="B222" s="6" t="s">
        <v>16</v>
      </c>
      <c r="C222" s="5" t="str">
        <f>HYPERLINK("http://data.overheid.nl/data/dataset/locaties-helicopterfoto-s-oevers-beheergebied-dzh-2010","Locaties helicopterfoto's oevers beheergebied DZH 2010")</f>
        <v>Locaties helicopterfoto's oevers beheergebied DZH 2010</v>
      </c>
      <c r="D222" s="6" t="s">
        <v>17</v>
      </c>
      <c r="E222" s="5" t="s">
        <v>18</v>
      </c>
      <c r="F222" s="6" t="s">
        <v>813</v>
      </c>
      <c r="G222" s="5" t="s">
        <v>165</v>
      </c>
      <c r="H222" s="6" t="s">
        <v>20</v>
      </c>
      <c r="I222" s="5" t="s">
        <v>21</v>
      </c>
      <c r="J222" s="4" t="s">
        <v>22</v>
      </c>
      <c r="K222" s="2" t="s">
        <v>23</v>
      </c>
      <c r="L222" s="6" t="s">
        <v>24</v>
      </c>
      <c r="M222" s="5" t="s">
        <v>25</v>
      </c>
      <c r="N222" s="3" t="s">
        <v>26</v>
      </c>
      <c r="O222" s="5">
        <v>2</v>
      </c>
      <c r="P222" s="3" t="s">
        <v>23</v>
      </c>
      <c r="Q222" s="5"/>
    </row>
    <row r="223" spans="1:17" ht="31">
      <c r="A223" s="5">
        <v>218</v>
      </c>
      <c r="B223" s="6" t="s">
        <v>16</v>
      </c>
      <c r="C223" s="5" t="str">
        <f>HYPERLINK("http://data.overheid.nl/data/dataset/westerschelde-2011-orthofotomozaiek-falsecolor-ecw","Westerschelde_2011_orthofotomozaiek_falsecolor_ecw")</f>
        <v>Westerschelde_2011_orthofotomozaiek_falsecolor_ecw</v>
      </c>
      <c r="D223" s="6" t="s">
        <v>17</v>
      </c>
      <c r="E223" s="5" t="s">
        <v>18</v>
      </c>
      <c r="F223" s="6" t="s">
        <v>813</v>
      </c>
      <c r="G223" s="5" t="s">
        <v>166</v>
      </c>
      <c r="H223" s="6" t="s">
        <v>20</v>
      </c>
      <c r="I223" s="5" t="s">
        <v>21</v>
      </c>
      <c r="J223" s="4" t="s">
        <v>22</v>
      </c>
      <c r="K223" s="2" t="s">
        <v>23</v>
      </c>
      <c r="L223" s="6" t="s">
        <v>24</v>
      </c>
      <c r="M223" s="5" t="s">
        <v>25</v>
      </c>
      <c r="N223" s="3" t="s">
        <v>26</v>
      </c>
      <c r="O223" s="5">
        <v>2</v>
      </c>
      <c r="P223" s="3" t="s">
        <v>23</v>
      </c>
      <c r="Q223" s="5"/>
    </row>
    <row r="224" spans="1:17" ht="62">
      <c r="A224" s="5">
        <v>219</v>
      </c>
      <c r="B224" s="6" t="s">
        <v>16</v>
      </c>
      <c r="C224" s="5" t="str">
        <f>HYPERLINK("http://data.overheid.nl/data/dataset/overzicht-vlieglijnen-westerschelde-2010","Overzicht vlieglijnen Westerschelde 2010")</f>
        <v>Overzicht vlieglijnen Westerschelde 2010</v>
      </c>
      <c r="D224" s="6" t="s">
        <v>17</v>
      </c>
      <c r="E224" s="5" t="s">
        <v>18</v>
      </c>
      <c r="F224" s="6" t="s">
        <v>813</v>
      </c>
      <c r="G224" s="5" t="s">
        <v>167</v>
      </c>
      <c r="H224" s="6" t="s">
        <v>20</v>
      </c>
      <c r="I224" s="5" t="s">
        <v>21</v>
      </c>
      <c r="J224" s="4" t="s">
        <v>22</v>
      </c>
      <c r="K224" s="2" t="s">
        <v>23</v>
      </c>
      <c r="L224" s="6" t="s">
        <v>24</v>
      </c>
      <c r="M224" s="5" t="s">
        <v>25</v>
      </c>
      <c r="N224" s="3" t="s">
        <v>26</v>
      </c>
      <c r="O224" s="5">
        <v>2</v>
      </c>
      <c r="P224" s="3" t="s">
        <v>23</v>
      </c>
      <c r="Q224" s="5"/>
    </row>
    <row r="225" spans="1:17" ht="248">
      <c r="A225" s="5">
        <v>220</v>
      </c>
      <c r="B225" s="6" t="s">
        <v>16</v>
      </c>
      <c r="C225" s="5" t="str">
        <f>HYPERLINK("http://data.overheid.nl/data/dataset/hoogtebestand-kust-2008","Hoogtebestand kust 2008")</f>
        <v>Hoogtebestand kust 2008</v>
      </c>
      <c r="D225" s="6" t="s">
        <v>17</v>
      </c>
      <c r="E225" s="5" t="s">
        <v>18</v>
      </c>
      <c r="F225" s="6" t="s">
        <v>813</v>
      </c>
      <c r="G225" s="5" t="s">
        <v>168</v>
      </c>
      <c r="H225" s="6" t="s">
        <v>20</v>
      </c>
      <c r="I225" s="5" t="s">
        <v>21</v>
      </c>
      <c r="J225" s="4" t="s">
        <v>22</v>
      </c>
      <c r="K225" s="2" t="s">
        <v>23</v>
      </c>
      <c r="L225" s="6" t="s">
        <v>24</v>
      </c>
      <c r="M225" s="5" t="s">
        <v>25</v>
      </c>
      <c r="N225" s="3" t="s">
        <v>26</v>
      </c>
      <c r="O225" s="5">
        <v>2</v>
      </c>
      <c r="P225" s="3" t="s">
        <v>23</v>
      </c>
      <c r="Q225" s="5"/>
    </row>
    <row r="226" spans="1:17" ht="62">
      <c r="A226" s="5">
        <v>221</v>
      </c>
      <c r="B226" s="6" t="s">
        <v>16</v>
      </c>
      <c r="C226" s="5" t="str">
        <f>HYPERLINK("http://data.overheid.nl/data/dataset/waddenzee-2012","Waddenzee 2012")</f>
        <v>Waddenzee 2012</v>
      </c>
      <c r="D226" s="6" t="s">
        <v>17</v>
      </c>
      <c r="E226" s="5" t="s">
        <v>18</v>
      </c>
      <c r="F226" s="6" t="s">
        <v>813</v>
      </c>
      <c r="G226" s="5" t="s">
        <v>169</v>
      </c>
      <c r="H226" s="6" t="s">
        <v>20</v>
      </c>
      <c r="I226" s="5" t="s">
        <v>21</v>
      </c>
      <c r="J226" s="4" t="s">
        <v>22</v>
      </c>
      <c r="K226" s="2" t="s">
        <v>23</v>
      </c>
      <c r="L226" s="6" t="s">
        <v>24</v>
      </c>
      <c r="M226" s="5" t="s">
        <v>25</v>
      </c>
      <c r="N226" s="3" t="s">
        <v>26</v>
      </c>
      <c r="O226" s="5">
        <v>2</v>
      </c>
      <c r="P226" s="3" t="s">
        <v>23</v>
      </c>
      <c r="Q226" s="5"/>
    </row>
    <row r="227" spans="1:17" ht="31">
      <c r="A227" s="5">
        <v>222</v>
      </c>
      <c r="B227" s="6" t="s">
        <v>16</v>
      </c>
      <c r="C227" s="5" t="str">
        <f>HYPERLINK("http://data.overheid.nl/data/dataset/databestand-grootschalig-verkeersonderzoek-goederenvervoer-randstad-2012","Databestand Grootschalig Verkeersonderzoek Goederenvervoer Randstad 2012")</f>
        <v>Databestand Grootschalig Verkeersonderzoek Goederenvervoer Randstad 2012</v>
      </c>
      <c r="D227" s="6" t="s">
        <v>17</v>
      </c>
      <c r="E227" s="5" t="s">
        <v>18</v>
      </c>
      <c r="F227" s="6" t="s">
        <v>813</v>
      </c>
      <c r="G227" s="5" t="s">
        <v>170</v>
      </c>
      <c r="H227" s="6" t="s">
        <v>20</v>
      </c>
      <c r="I227" s="5" t="s">
        <v>21</v>
      </c>
      <c r="J227" s="4" t="s">
        <v>22</v>
      </c>
      <c r="K227" s="2" t="s">
        <v>23</v>
      </c>
      <c r="L227" s="6" t="s">
        <v>24</v>
      </c>
      <c r="M227" s="5" t="s">
        <v>25</v>
      </c>
      <c r="N227" s="3" t="s">
        <v>26</v>
      </c>
      <c r="O227" s="5">
        <v>1</v>
      </c>
      <c r="P227" s="3" t="s">
        <v>23</v>
      </c>
      <c r="Q227" s="5"/>
    </row>
    <row r="228" spans="1:17" ht="62">
      <c r="A228" s="5">
        <v>223</v>
      </c>
      <c r="B228" s="6" t="s">
        <v>16</v>
      </c>
      <c r="C228" s="5" t="str">
        <f>HYPERLINK("http://data.overheid.nl/data/dataset/overzicht-vlieglijnen-kribben-waal-2010","Overzicht vlieglijnen kribben Waal 2010")</f>
        <v>Overzicht vlieglijnen kribben Waal 2010</v>
      </c>
      <c r="D228" s="6" t="s">
        <v>17</v>
      </c>
      <c r="E228" s="5" t="s">
        <v>18</v>
      </c>
      <c r="F228" s="6" t="s">
        <v>813</v>
      </c>
      <c r="G228" s="5" t="s">
        <v>171</v>
      </c>
      <c r="H228" s="6" t="s">
        <v>20</v>
      </c>
      <c r="I228" s="5" t="s">
        <v>21</v>
      </c>
      <c r="J228" s="4" t="s">
        <v>22</v>
      </c>
      <c r="K228" s="2" t="s">
        <v>23</v>
      </c>
      <c r="L228" s="6" t="s">
        <v>24</v>
      </c>
      <c r="M228" s="5" t="s">
        <v>25</v>
      </c>
      <c r="N228" s="3" t="s">
        <v>26</v>
      </c>
      <c r="O228" s="5">
        <v>2</v>
      </c>
      <c r="P228" s="3" t="s">
        <v>23</v>
      </c>
      <c r="Q228" s="5"/>
    </row>
    <row r="229" spans="1:17" ht="46.5">
      <c r="A229" s="5">
        <v>224</v>
      </c>
      <c r="B229" s="6" t="s">
        <v>16</v>
      </c>
      <c r="C229" s="5" t="str">
        <f>HYPERLINK("http://data.overheid.nl/data/dataset/hoogtegegevens-kribben-waal-2012","Hoogtegegevens kribben Waal 2012")</f>
        <v>Hoogtegegevens kribben Waal 2012</v>
      </c>
      <c r="D229" s="6" t="s">
        <v>17</v>
      </c>
      <c r="E229" s="5" t="s">
        <v>18</v>
      </c>
      <c r="F229" s="6" t="s">
        <v>813</v>
      </c>
      <c r="G229" s="5" t="s">
        <v>172</v>
      </c>
      <c r="H229" s="6" t="s">
        <v>20</v>
      </c>
      <c r="I229" s="5" t="s">
        <v>21</v>
      </c>
      <c r="J229" s="4" t="s">
        <v>22</v>
      </c>
      <c r="K229" s="2" t="s">
        <v>23</v>
      </c>
      <c r="L229" s="6" t="s">
        <v>24</v>
      </c>
      <c r="M229" s="5" t="s">
        <v>25</v>
      </c>
      <c r="N229" s="3" t="s">
        <v>26</v>
      </c>
      <c r="O229" s="5">
        <v>2</v>
      </c>
      <c r="P229" s="3" t="s">
        <v>23</v>
      </c>
      <c r="Q229" s="5"/>
    </row>
    <row r="230" spans="1:17" ht="46.5">
      <c r="A230" s="5">
        <v>225</v>
      </c>
      <c r="B230" s="6" t="s">
        <v>16</v>
      </c>
      <c r="C230" s="5" t="str">
        <f>HYPERLINK("http://data.overheid.nl/data/dataset/friesche-groningse-kust-orthofotomozaiek-falsecolor-tbv-vegetatiekartering","Friesche_Groningse_Kust_Orthofotomozaiek_Falsecolor tbv vegetatiekartering")</f>
        <v>Friesche_Groningse_Kust_Orthofotomozaiek_Falsecolor tbv vegetatiekartering</v>
      </c>
      <c r="D230" s="6" t="s">
        <v>17</v>
      </c>
      <c r="E230" s="5" t="s">
        <v>18</v>
      </c>
      <c r="F230" s="6" t="s">
        <v>813</v>
      </c>
      <c r="G230" s="5" t="s">
        <v>173</v>
      </c>
      <c r="H230" s="6" t="s">
        <v>20</v>
      </c>
      <c r="I230" s="5" t="s">
        <v>21</v>
      </c>
      <c r="J230" s="4" t="s">
        <v>22</v>
      </c>
      <c r="K230" s="2" t="s">
        <v>23</v>
      </c>
      <c r="L230" s="6" t="s">
        <v>24</v>
      </c>
      <c r="M230" s="5" t="s">
        <v>25</v>
      </c>
      <c r="N230" s="3" t="s">
        <v>26</v>
      </c>
      <c r="O230" s="5">
        <v>2</v>
      </c>
      <c r="P230" s="3" t="s">
        <v>23</v>
      </c>
      <c r="Q230" s="5"/>
    </row>
    <row r="231" spans="1:17" ht="46.5">
      <c r="A231" s="5">
        <v>226</v>
      </c>
      <c r="B231" s="6" t="s">
        <v>16</v>
      </c>
      <c r="C231" s="5" t="str">
        <f>HYPERLINK("http://data.overheid.nl/data/dataset/ameland-orthofotomozaiek-falsecolor-tbv-vegetatiekartering","Ameland_Orthofotomozaiek_Falsecolor tbv vegetatiekartering")</f>
        <v>Ameland_Orthofotomozaiek_Falsecolor tbv vegetatiekartering</v>
      </c>
      <c r="D231" s="6" t="s">
        <v>17</v>
      </c>
      <c r="E231" s="5" t="s">
        <v>18</v>
      </c>
      <c r="F231" s="6" t="s">
        <v>813</v>
      </c>
      <c r="G231" s="5" t="s">
        <v>174</v>
      </c>
      <c r="H231" s="6" t="s">
        <v>20</v>
      </c>
      <c r="I231" s="5" t="s">
        <v>21</v>
      </c>
      <c r="J231" s="4" t="s">
        <v>22</v>
      </c>
      <c r="K231" s="2" t="s">
        <v>23</v>
      </c>
      <c r="L231" s="6" t="s">
        <v>24</v>
      </c>
      <c r="M231" s="5" t="s">
        <v>25</v>
      </c>
      <c r="N231" s="3" t="s">
        <v>26</v>
      </c>
      <c r="O231" s="5">
        <v>2</v>
      </c>
      <c r="P231" s="3" t="s">
        <v>23</v>
      </c>
      <c r="Q231" s="5"/>
    </row>
    <row r="232" spans="1:17" ht="31">
      <c r="A232" s="5">
        <v>227</v>
      </c>
      <c r="B232" s="6" t="s">
        <v>16</v>
      </c>
      <c r="C232" s="5" t="str">
        <f>HYPERLINK("http://data.overheid.nl/data/dataset/verkeersscheidingsstelsel-symbolen-van-de-vaarrichtingen-en-ankers","Verkeersscheidingsstelsel (symbolen van de vaarrichtingen en ankers)")</f>
        <v>Verkeersscheidingsstelsel (symbolen van de vaarrichtingen en ankers)</v>
      </c>
      <c r="D232" s="6" t="s">
        <v>17</v>
      </c>
      <c r="E232" s="5" t="s">
        <v>18</v>
      </c>
      <c r="F232" s="6" t="s">
        <v>813</v>
      </c>
      <c r="G232" s="5" t="s">
        <v>175</v>
      </c>
      <c r="H232" s="6" t="s">
        <v>20</v>
      </c>
      <c r="I232" s="5" t="s">
        <v>21</v>
      </c>
      <c r="J232" s="4" t="s">
        <v>22</v>
      </c>
      <c r="K232" s="2" t="s">
        <v>23</v>
      </c>
      <c r="L232" s="6" t="s">
        <v>24</v>
      </c>
      <c r="M232" s="5" t="s">
        <v>25</v>
      </c>
      <c r="N232" s="3" t="s">
        <v>26</v>
      </c>
      <c r="O232" s="5">
        <v>2</v>
      </c>
      <c r="P232" s="3" t="s">
        <v>23</v>
      </c>
      <c r="Q232" s="5"/>
    </row>
    <row r="233" spans="1:17" ht="31">
      <c r="A233" s="5">
        <v>228</v>
      </c>
      <c r="B233" s="6" t="s">
        <v>16</v>
      </c>
      <c r="C233" s="5" t="str">
        <f>HYPERLINK("http://data.overheid.nl/data/dataset/verkeersscheidingsstelsel-op-de-noordzee","Verkeersscheidingsstelsel op de Noordzee")</f>
        <v>Verkeersscheidingsstelsel op de Noordzee</v>
      </c>
      <c r="D233" s="6" t="s">
        <v>17</v>
      </c>
      <c r="E233" s="5" t="s">
        <v>18</v>
      </c>
      <c r="F233" s="6" t="s">
        <v>813</v>
      </c>
      <c r="G233" s="5" t="s">
        <v>176</v>
      </c>
      <c r="H233" s="6" t="s">
        <v>20</v>
      </c>
      <c r="I233" s="5" t="s">
        <v>21</v>
      </c>
      <c r="J233" s="7" t="s">
        <v>38</v>
      </c>
      <c r="K233" s="2" t="s">
        <v>23</v>
      </c>
      <c r="L233" s="6" t="s">
        <v>24</v>
      </c>
      <c r="M233" s="5" t="s">
        <v>25</v>
      </c>
      <c r="N233" s="3" t="s">
        <v>26</v>
      </c>
      <c r="O233" s="5">
        <v>6</v>
      </c>
      <c r="P233" s="3" t="s">
        <v>23</v>
      </c>
      <c r="Q233" s="5"/>
    </row>
    <row r="234" spans="1:17" ht="31">
      <c r="A234" s="5">
        <v>229</v>
      </c>
      <c r="B234" s="6" t="s">
        <v>16</v>
      </c>
      <c r="C234" s="5" t="str">
        <f>HYPERLINK("http://data.overheid.nl/data/dataset/separatiezones-binnen-het-verkeersscheidingsstelsel","Separatiezones binnen het verkeersscheidingsstelsel")</f>
        <v>Separatiezones binnen het verkeersscheidingsstelsel</v>
      </c>
      <c r="D234" s="6" t="s">
        <v>17</v>
      </c>
      <c r="E234" s="5" t="s">
        <v>18</v>
      </c>
      <c r="F234" s="6" t="s">
        <v>813</v>
      </c>
      <c r="G234" s="5" t="s">
        <v>177</v>
      </c>
      <c r="H234" s="6" t="s">
        <v>28</v>
      </c>
      <c r="I234" s="5" t="s">
        <v>21</v>
      </c>
      <c r="J234" s="4" t="s">
        <v>22</v>
      </c>
      <c r="K234" s="2" t="s">
        <v>23</v>
      </c>
      <c r="L234" s="6" t="s">
        <v>24</v>
      </c>
      <c r="M234" s="5" t="s">
        <v>25</v>
      </c>
      <c r="N234" s="3" t="s">
        <v>26</v>
      </c>
      <c r="O234" s="5">
        <v>4</v>
      </c>
      <c r="P234" s="3" t="s">
        <v>23</v>
      </c>
      <c r="Q234" s="5"/>
    </row>
    <row r="235" spans="1:17" ht="31">
      <c r="A235" s="5">
        <v>230</v>
      </c>
      <c r="B235" s="6" t="s">
        <v>16</v>
      </c>
      <c r="C235" s="5" t="str">
        <f>HYPERLINK("http://data.overheid.nl/data/dataset/lodvakken-van-de-vaargeul","Lodvakken van de vaargeul")</f>
        <v>Lodvakken van de vaargeul</v>
      </c>
      <c r="D235" s="6" t="s">
        <v>17</v>
      </c>
      <c r="E235" s="5" t="s">
        <v>18</v>
      </c>
      <c r="F235" s="6" t="s">
        <v>813</v>
      </c>
      <c r="G235" s="5" t="s">
        <v>178</v>
      </c>
      <c r="H235" s="6" t="s">
        <v>20</v>
      </c>
      <c r="I235" s="5" t="s">
        <v>21</v>
      </c>
      <c r="J235" s="4" t="s">
        <v>22</v>
      </c>
      <c r="K235" s="2" t="s">
        <v>23</v>
      </c>
      <c r="L235" s="6" t="s">
        <v>24</v>
      </c>
      <c r="M235" s="5" t="s">
        <v>25</v>
      </c>
      <c r="N235" s="3" t="s">
        <v>26</v>
      </c>
      <c r="O235" s="5">
        <v>2</v>
      </c>
      <c r="P235" s="3" t="s">
        <v>23</v>
      </c>
      <c r="Q235" s="5"/>
    </row>
    <row r="236" spans="1:17" ht="31">
      <c r="A236" s="5">
        <v>231</v>
      </c>
      <c r="B236" s="6" t="s">
        <v>16</v>
      </c>
      <c r="C236" s="5" t="str">
        <f>HYPERLINK("http://data.overheid.nl/data/dataset/kilometrering-op-de-as-van-de-geulen","Kilometrering op de as van de geulen")</f>
        <v>Kilometrering op de as van de geulen</v>
      </c>
      <c r="D236" s="6" t="s">
        <v>17</v>
      </c>
      <c r="E236" s="5" t="s">
        <v>18</v>
      </c>
      <c r="F236" s="6" t="s">
        <v>813</v>
      </c>
      <c r="G236" s="5" t="s">
        <v>179</v>
      </c>
      <c r="H236" s="6" t="s">
        <v>28</v>
      </c>
      <c r="I236" s="5" t="s">
        <v>21</v>
      </c>
      <c r="J236" s="4" t="s">
        <v>22</v>
      </c>
      <c r="K236" s="2" t="s">
        <v>23</v>
      </c>
      <c r="L236" s="6" t="s">
        <v>24</v>
      </c>
      <c r="M236" s="5" t="s">
        <v>25</v>
      </c>
      <c r="N236" s="3" t="s">
        <v>26</v>
      </c>
      <c r="O236" s="5">
        <v>6</v>
      </c>
      <c r="P236" s="3" t="s">
        <v>23</v>
      </c>
      <c r="Q236" s="5"/>
    </row>
    <row r="237" spans="1:17" ht="31">
      <c r="A237" s="5">
        <v>232</v>
      </c>
      <c r="B237" s="6" t="s">
        <v>16</v>
      </c>
      <c r="C237" s="5" t="str">
        <f>HYPERLINK("http://data.overheid.nl/data/dataset/ankergebieden","Ankergebieden")</f>
        <v>Ankergebieden</v>
      </c>
      <c r="D237" s="6" t="s">
        <v>17</v>
      </c>
      <c r="E237" s="5" t="s">
        <v>18</v>
      </c>
      <c r="F237" s="6" t="s">
        <v>813</v>
      </c>
      <c r="G237" s="5" t="s">
        <v>180</v>
      </c>
      <c r="H237" s="6" t="s">
        <v>28</v>
      </c>
      <c r="I237" s="5" t="s">
        <v>21</v>
      </c>
      <c r="J237" s="4" t="s">
        <v>22</v>
      </c>
      <c r="K237" s="2" t="s">
        <v>23</v>
      </c>
      <c r="L237" s="6" t="s">
        <v>24</v>
      </c>
      <c r="M237" s="5" t="s">
        <v>25</v>
      </c>
      <c r="N237" s="3" t="s">
        <v>26</v>
      </c>
      <c r="O237" s="5">
        <v>4</v>
      </c>
      <c r="P237" s="3" t="s">
        <v>23</v>
      </c>
      <c r="Q237" s="5"/>
    </row>
    <row r="238" spans="1:17" ht="31">
      <c r="A238" s="5">
        <v>233</v>
      </c>
      <c r="B238" s="6" t="s">
        <v>16</v>
      </c>
      <c r="C238" s="5" t="str">
        <f>HYPERLINK("http://data.overheid.nl/data/dataset/aanloopgebieden-nautisch-beheerder","Aanloopgebieden nautisch beheerder")</f>
        <v>Aanloopgebieden nautisch beheerder</v>
      </c>
      <c r="D238" s="6" t="s">
        <v>17</v>
      </c>
      <c r="E238" s="5" t="s">
        <v>18</v>
      </c>
      <c r="F238" s="6" t="s">
        <v>813</v>
      </c>
      <c r="G238" s="5" t="s">
        <v>181</v>
      </c>
      <c r="H238" s="6" t="s">
        <v>20</v>
      </c>
      <c r="I238" s="5" t="s">
        <v>21</v>
      </c>
      <c r="J238" s="4" t="s">
        <v>22</v>
      </c>
      <c r="K238" s="2" t="s">
        <v>23</v>
      </c>
      <c r="L238" s="6" t="s">
        <v>24</v>
      </c>
      <c r="M238" s="5" t="s">
        <v>25</v>
      </c>
      <c r="N238" s="3" t="s">
        <v>26</v>
      </c>
      <c r="O238" s="5">
        <v>2</v>
      </c>
      <c r="P238" s="3" t="s">
        <v>23</v>
      </c>
      <c r="Q238" s="5"/>
    </row>
    <row r="239" spans="1:17" ht="46.5">
      <c r="A239" s="5">
        <v>234</v>
      </c>
      <c r="B239" s="6" t="s">
        <v>16</v>
      </c>
      <c r="C239" s="5" t="str">
        <f>HYPERLINK("http://data.overheid.nl/data/dataset/orthofotomozaiek-eroderende-maasoevers-falsecolour-2010","Orthofotomozaiek Eroderende Maasoevers Falsecolour 2010")</f>
        <v>Orthofotomozaiek Eroderende Maasoevers Falsecolour 2010</v>
      </c>
      <c r="D239" s="6" t="s">
        <v>17</v>
      </c>
      <c r="E239" s="5" t="s">
        <v>18</v>
      </c>
      <c r="F239" s="6" t="s">
        <v>813</v>
      </c>
      <c r="G239" s="5" t="s">
        <v>182</v>
      </c>
      <c r="H239" s="6" t="s">
        <v>20</v>
      </c>
      <c r="I239" s="5" t="s">
        <v>21</v>
      </c>
      <c r="J239" s="4" t="s">
        <v>22</v>
      </c>
      <c r="K239" s="2" t="s">
        <v>23</v>
      </c>
      <c r="L239" s="6" t="s">
        <v>24</v>
      </c>
      <c r="M239" s="5" t="s">
        <v>25</v>
      </c>
      <c r="N239" s="3" t="s">
        <v>26</v>
      </c>
      <c r="O239" s="5">
        <v>2</v>
      </c>
      <c r="P239" s="3" t="s">
        <v>23</v>
      </c>
      <c r="Q239" s="5"/>
    </row>
    <row r="240" spans="1:17" ht="46.5">
      <c r="A240" s="5">
        <v>235</v>
      </c>
      <c r="B240" s="6" t="s">
        <v>16</v>
      </c>
      <c r="C240" s="5" t="str">
        <f>HYPERLINK("http://data.overheid.nl/data/dataset/kribben-zuid-holland-2008","Kribben Zuid-Holland 2008")</f>
        <v>Kribben Zuid-Holland 2008</v>
      </c>
      <c r="D240" s="6" t="s">
        <v>17</v>
      </c>
      <c r="E240" s="5" t="s">
        <v>18</v>
      </c>
      <c r="F240" s="6" t="s">
        <v>813</v>
      </c>
      <c r="G240" s="5" t="s">
        <v>183</v>
      </c>
      <c r="H240" s="6" t="s">
        <v>20</v>
      </c>
      <c r="I240" s="5" t="s">
        <v>21</v>
      </c>
      <c r="J240" s="4" t="s">
        <v>22</v>
      </c>
      <c r="K240" s="2" t="s">
        <v>23</v>
      </c>
      <c r="L240" s="6" t="s">
        <v>24</v>
      </c>
      <c r="M240" s="5" t="s">
        <v>25</v>
      </c>
      <c r="N240" s="3" t="s">
        <v>26</v>
      </c>
      <c r="O240" s="5">
        <v>2</v>
      </c>
      <c r="P240" s="3" t="s">
        <v>23</v>
      </c>
      <c r="Q240" s="5"/>
    </row>
    <row r="241" spans="1:17" ht="46.5">
      <c r="A241" s="5">
        <v>236</v>
      </c>
      <c r="B241" s="6" t="s">
        <v>16</v>
      </c>
      <c r="C241" s="5" t="str">
        <f>HYPERLINK("http://data.overheid.nl/data/dataset/kribben-waal-2008","Kribben Waal 2008")</f>
        <v>Kribben Waal 2008</v>
      </c>
      <c r="D241" s="6" t="s">
        <v>17</v>
      </c>
      <c r="E241" s="5" t="s">
        <v>18</v>
      </c>
      <c r="F241" s="6" t="s">
        <v>813</v>
      </c>
      <c r="G241" s="5" t="s">
        <v>184</v>
      </c>
      <c r="H241" s="6" t="s">
        <v>20</v>
      </c>
      <c r="I241" s="5" t="s">
        <v>21</v>
      </c>
      <c r="J241" s="4" t="s">
        <v>22</v>
      </c>
      <c r="K241" s="2" t="s">
        <v>23</v>
      </c>
      <c r="L241" s="6" t="s">
        <v>24</v>
      </c>
      <c r="M241" s="5" t="s">
        <v>25</v>
      </c>
      <c r="N241" s="3" t="s">
        <v>26</v>
      </c>
      <c r="O241" s="5">
        <v>2</v>
      </c>
      <c r="P241" s="3" t="s">
        <v>23</v>
      </c>
      <c r="Q241" s="5"/>
    </row>
    <row r="242" spans="1:17" ht="31">
      <c r="A242" s="5">
        <v>237</v>
      </c>
      <c r="B242" s="6" t="s">
        <v>16</v>
      </c>
      <c r="C242" s="5" t="str">
        <f>HYPERLINK("http://data.overheid.nl/data/dataset/rijkswaterstaat-resultaten-tellingen-vervoer-gevaarlijke-stoffen-per-wegvak-en-provincie","Rijkswaterstaat - Resultaten tellingen vervoer gevaarlijke stoffen per wegvak en provincie")</f>
        <v>Rijkswaterstaat - Resultaten tellingen vervoer gevaarlijke stoffen per wegvak en provincie</v>
      </c>
      <c r="D242" s="6" t="s">
        <v>17</v>
      </c>
      <c r="E242" s="5" t="s">
        <v>18</v>
      </c>
      <c r="F242" s="6" t="s">
        <v>813</v>
      </c>
      <c r="G242" s="5" t="s">
        <v>185</v>
      </c>
      <c r="H242" s="6" t="s">
        <v>20</v>
      </c>
      <c r="I242" s="5" t="s">
        <v>21</v>
      </c>
      <c r="J242" s="4" t="s">
        <v>22</v>
      </c>
      <c r="K242" s="2" t="s">
        <v>23</v>
      </c>
      <c r="L242" s="6" t="s">
        <v>24</v>
      </c>
      <c r="M242" s="5" t="s">
        <v>25</v>
      </c>
      <c r="N242" s="3" t="s">
        <v>26</v>
      </c>
      <c r="O242" s="5">
        <v>1</v>
      </c>
      <c r="P242" s="3" t="s">
        <v>23</v>
      </c>
      <c r="Q242" s="5"/>
    </row>
    <row r="243" spans="1:17" ht="31">
      <c r="A243" s="5">
        <v>238</v>
      </c>
      <c r="B243" s="6" t="s">
        <v>16</v>
      </c>
      <c r="C243" s="5" t="str">
        <f>HYPERLINK("http://data.overheid.nl/data/dataset/rijkswaterstaat-documenten-jaarintensiteiten-vervoer-gevaarlijke-stoffen-op-de-weg","Rijkswaterstaat - Documenten jaarintensiteiten vervoer gevaarlijke stoffen op de weg")</f>
        <v>Rijkswaterstaat - Documenten jaarintensiteiten vervoer gevaarlijke stoffen op de weg</v>
      </c>
      <c r="D243" s="6" t="s">
        <v>17</v>
      </c>
      <c r="E243" s="5" t="s">
        <v>18</v>
      </c>
      <c r="F243" s="6" t="s">
        <v>813</v>
      </c>
      <c r="G243" s="5" t="s">
        <v>186</v>
      </c>
      <c r="H243" s="6" t="s">
        <v>20</v>
      </c>
      <c r="I243" s="5" t="s">
        <v>21</v>
      </c>
      <c r="J243" s="4" t="s">
        <v>22</v>
      </c>
      <c r="K243" s="2" t="s">
        <v>23</v>
      </c>
      <c r="L243" s="6" t="s">
        <v>24</v>
      </c>
      <c r="M243" s="5" t="s">
        <v>25</v>
      </c>
      <c r="N243" s="3" t="s">
        <v>26</v>
      </c>
      <c r="O243" s="5">
        <v>1</v>
      </c>
      <c r="P243" s="3" t="s">
        <v>23</v>
      </c>
      <c r="Q243" s="5"/>
    </row>
    <row r="244" spans="1:17" ht="201.5">
      <c r="A244" s="5">
        <v>239</v>
      </c>
      <c r="B244" s="6" t="s">
        <v>16</v>
      </c>
      <c r="C244" s="5" t="str">
        <f>HYPERLINK("http://data.overheid.nl/data/dataset/beschrijvende-plaatsbepaling-systematiek-stroken","Beschrijvende Plaatsbepaling Systematiek stroken")</f>
        <v>Beschrijvende Plaatsbepaling Systematiek stroken</v>
      </c>
      <c r="D244" s="6" t="s">
        <v>17</v>
      </c>
      <c r="E244" s="5" t="s">
        <v>18</v>
      </c>
      <c r="F244" s="6" t="s">
        <v>813</v>
      </c>
      <c r="G244" s="5" t="s">
        <v>187</v>
      </c>
      <c r="H244" s="6" t="s">
        <v>20</v>
      </c>
      <c r="I244" s="5" t="s">
        <v>21</v>
      </c>
      <c r="J244" s="4" t="s">
        <v>22</v>
      </c>
      <c r="K244" s="2" t="s">
        <v>23</v>
      </c>
      <c r="L244" s="6" t="s">
        <v>24</v>
      </c>
      <c r="M244" s="5" t="s">
        <v>25</v>
      </c>
      <c r="N244" s="3" t="s">
        <v>26</v>
      </c>
      <c r="O244" s="5">
        <v>2</v>
      </c>
      <c r="P244" s="3" t="s">
        <v>23</v>
      </c>
      <c r="Q244" s="5"/>
    </row>
    <row r="245" spans="1:17" ht="232.5">
      <c r="A245" s="5">
        <v>240</v>
      </c>
      <c r="B245" s="6" t="s">
        <v>16</v>
      </c>
      <c r="C245" s="5" t="str">
        <f>HYPERLINK("http://data.overheid.nl/data/dataset/beschrijvende-plaatsbepaling-systematiek-banen","Beschrijvende Plaatsbepaling Systematiek banen")</f>
        <v>Beschrijvende Plaatsbepaling Systematiek banen</v>
      </c>
      <c r="D245" s="6" t="s">
        <v>17</v>
      </c>
      <c r="E245" s="5" t="s">
        <v>18</v>
      </c>
      <c r="F245" s="6" t="s">
        <v>813</v>
      </c>
      <c r="G245" s="5" t="s">
        <v>188</v>
      </c>
      <c r="H245" s="6" t="s">
        <v>20</v>
      </c>
      <c r="I245" s="5" t="s">
        <v>21</v>
      </c>
      <c r="J245" s="4" t="s">
        <v>22</v>
      </c>
      <c r="K245" s="2" t="s">
        <v>23</v>
      </c>
      <c r="L245" s="6" t="s">
        <v>24</v>
      </c>
      <c r="M245" s="5" t="s">
        <v>25</v>
      </c>
      <c r="N245" s="3" t="s">
        <v>26</v>
      </c>
      <c r="O245" s="5">
        <v>2</v>
      </c>
      <c r="P245" s="3" t="s">
        <v>23</v>
      </c>
      <c r="Q245" s="5"/>
    </row>
    <row r="246" spans="1:17" ht="46.5">
      <c r="A246" s="5">
        <v>241</v>
      </c>
      <c r="B246" s="6" t="s">
        <v>16</v>
      </c>
      <c r="C246" s="5" t="str">
        <f>HYPERLINK("http://data.overheid.nl/data/dataset/pijpleidingen-op-de-noordzee","Pijpleidingen op de Noordzee")</f>
        <v>Pijpleidingen op de Noordzee</v>
      </c>
      <c r="D246" s="6" t="s">
        <v>17</v>
      </c>
      <c r="E246" s="5" t="s">
        <v>18</v>
      </c>
      <c r="F246" s="6" t="s">
        <v>813</v>
      </c>
      <c r="G246" s="5" t="s">
        <v>189</v>
      </c>
      <c r="H246" s="6" t="s">
        <v>20</v>
      </c>
      <c r="I246" s="5" t="s">
        <v>21</v>
      </c>
      <c r="J246" s="4" t="s">
        <v>22</v>
      </c>
      <c r="K246" s="2" t="s">
        <v>23</v>
      </c>
      <c r="L246" s="6" t="s">
        <v>24</v>
      </c>
      <c r="M246" s="5" t="s">
        <v>25</v>
      </c>
      <c r="N246" s="3" t="s">
        <v>26</v>
      </c>
      <c r="O246" s="5">
        <v>2</v>
      </c>
      <c r="P246" s="3" t="s">
        <v>23</v>
      </c>
      <c r="Q246" s="5"/>
    </row>
    <row r="247" spans="1:17" ht="62">
      <c r="A247" s="5">
        <v>242</v>
      </c>
      <c r="B247" s="6" t="s">
        <v>16</v>
      </c>
      <c r="C247" s="5" t="str">
        <f>HYPERLINK("http://data.overheid.nl/data/dataset/elektra-telecom-kabels-op-de-noordzee","Elektra, telecom kabels op de Noordzee")</f>
        <v>Elektra, telecom kabels op de Noordzee</v>
      </c>
      <c r="D247" s="6" t="s">
        <v>17</v>
      </c>
      <c r="E247" s="5" t="s">
        <v>18</v>
      </c>
      <c r="F247" s="6" t="s">
        <v>813</v>
      </c>
      <c r="G247" s="5" t="s">
        <v>190</v>
      </c>
      <c r="H247" s="6" t="s">
        <v>20</v>
      </c>
      <c r="I247" s="5" t="s">
        <v>21</v>
      </c>
      <c r="J247" s="4" t="s">
        <v>22</v>
      </c>
      <c r="K247" s="2" t="s">
        <v>23</v>
      </c>
      <c r="L247" s="6" t="s">
        <v>24</v>
      </c>
      <c r="M247" s="5" t="s">
        <v>25</v>
      </c>
      <c r="N247" s="3" t="s">
        <v>26</v>
      </c>
      <c r="O247" s="5">
        <v>2</v>
      </c>
      <c r="P247" s="3" t="s">
        <v>23</v>
      </c>
      <c r="Q247" s="5"/>
    </row>
    <row r="248" spans="1:17" ht="46.5">
      <c r="A248" s="5">
        <v>243</v>
      </c>
      <c r="B248" s="6" t="s">
        <v>16</v>
      </c>
      <c r="C248" s="5" t="str">
        <f>HYPERLINK("http://data.overheid.nl/data/dataset/hoogtebestand-vliestroom-2010","Hoogtebestand Vliestroom 2010")</f>
        <v>Hoogtebestand Vliestroom 2010</v>
      </c>
      <c r="D248" s="6" t="s">
        <v>17</v>
      </c>
      <c r="E248" s="5" t="s">
        <v>18</v>
      </c>
      <c r="F248" s="6" t="s">
        <v>813</v>
      </c>
      <c r="G248" s="5" t="s">
        <v>191</v>
      </c>
      <c r="H248" s="6" t="s">
        <v>20</v>
      </c>
      <c r="I248" s="5" t="s">
        <v>21</v>
      </c>
      <c r="J248" s="4" t="s">
        <v>22</v>
      </c>
      <c r="K248" s="2" t="s">
        <v>23</v>
      </c>
      <c r="L248" s="6" t="s">
        <v>24</v>
      </c>
      <c r="M248" s="5" t="s">
        <v>25</v>
      </c>
      <c r="N248" s="3" t="s">
        <v>26</v>
      </c>
      <c r="O248" s="5">
        <v>2</v>
      </c>
      <c r="P248" s="3" t="s">
        <v>23</v>
      </c>
      <c r="Q248" s="5"/>
    </row>
    <row r="249" spans="1:17" ht="93">
      <c r="A249" s="5">
        <v>244</v>
      </c>
      <c r="B249" s="6" t="s">
        <v>16</v>
      </c>
      <c r="C249" s="5" t="str">
        <f>HYPERLINK("http://data.overheid.nl/data/dataset/nationale-databank-wegverkeersgegevens-aanvullende-verkeersmeetpunten-en-gegevens-oost-nederland","Nationale Databank Wegverkeersgegevens - Aanvullende verkeersmeetpunten en -gegevens Oost Nederland")</f>
        <v>Nationale Databank Wegverkeersgegevens - Aanvullende verkeersmeetpunten en -gegevens Oost Nederland</v>
      </c>
      <c r="D249" s="6" t="s">
        <v>17</v>
      </c>
      <c r="E249" s="5" t="s">
        <v>18</v>
      </c>
      <c r="F249" s="6" t="s">
        <v>813</v>
      </c>
      <c r="G249" s="5" t="s">
        <v>192</v>
      </c>
      <c r="H249" s="6" t="s">
        <v>20</v>
      </c>
      <c r="I249" s="5" t="s">
        <v>21</v>
      </c>
      <c r="J249" s="4" t="s">
        <v>22</v>
      </c>
      <c r="K249" s="2" t="s">
        <v>23</v>
      </c>
      <c r="L249" s="6" t="s">
        <v>24</v>
      </c>
      <c r="M249" s="5" t="s">
        <v>25</v>
      </c>
      <c r="N249" s="3" t="s">
        <v>26</v>
      </c>
      <c r="O249" s="5">
        <v>1</v>
      </c>
      <c r="P249" s="3" t="s">
        <v>23</v>
      </c>
      <c r="Q249" s="5"/>
    </row>
    <row r="250" spans="1:17" ht="31">
      <c r="A250" s="5">
        <v>245</v>
      </c>
      <c r="B250" s="6" t="s">
        <v>16</v>
      </c>
      <c r="C250" s="5" t="str">
        <f>HYPERLINK("http://data.overheid.nl/data/dataset/verwachte-waterstanden-en-afvoeren-rijkswaterstaat-01","Verwachte waterstanden en afvoeren - Rijkswaterstaat")</f>
        <v>Verwachte waterstanden en afvoeren - Rijkswaterstaat</v>
      </c>
      <c r="D250" s="6" t="s">
        <v>17</v>
      </c>
      <c r="E250" s="5" t="s">
        <v>18</v>
      </c>
      <c r="F250" s="6" t="s">
        <v>813</v>
      </c>
      <c r="G250" s="5" t="s">
        <v>193</v>
      </c>
      <c r="H250" s="6" t="s">
        <v>20</v>
      </c>
      <c r="I250" s="5" t="s">
        <v>21</v>
      </c>
      <c r="J250" s="4" t="s">
        <v>22</v>
      </c>
      <c r="K250" s="2" t="s">
        <v>23</v>
      </c>
      <c r="L250" s="6" t="s">
        <v>24</v>
      </c>
      <c r="M250" s="5" t="s">
        <v>25</v>
      </c>
      <c r="N250" s="3" t="s">
        <v>26</v>
      </c>
      <c r="O250" s="5">
        <v>1</v>
      </c>
      <c r="P250" s="3" t="s">
        <v>23</v>
      </c>
      <c r="Q250" s="5"/>
    </row>
    <row r="251" spans="1:17" ht="46.5">
      <c r="A251" s="5">
        <v>246</v>
      </c>
      <c r="B251" s="6" t="s">
        <v>16</v>
      </c>
      <c r="C251" s="5" t="str">
        <f>HYPERLINK("http://data.overheid.nl/data/dataset/actuele-waterdata-reeksen-rijkswaterstaat-01","Waterstanden en afvoeren actueel - Rijkswaterstaat")</f>
        <v>Waterstanden en afvoeren actueel - Rijkswaterstaat</v>
      </c>
      <c r="D251" s="6" t="s">
        <v>17</v>
      </c>
      <c r="E251" s="5" t="s">
        <v>18</v>
      </c>
      <c r="F251" s="6" t="s">
        <v>813</v>
      </c>
      <c r="G251" s="5" t="s">
        <v>194</v>
      </c>
      <c r="H251" s="6" t="s">
        <v>20</v>
      </c>
      <c r="I251" s="5" t="s">
        <v>21</v>
      </c>
      <c r="J251" s="4" t="s">
        <v>22</v>
      </c>
      <c r="K251" s="2" t="s">
        <v>23</v>
      </c>
      <c r="L251" s="6" t="s">
        <v>24</v>
      </c>
      <c r="M251" s="5" t="s">
        <v>25</v>
      </c>
      <c r="N251" s="3" t="s">
        <v>26</v>
      </c>
      <c r="O251" s="5">
        <v>14</v>
      </c>
      <c r="P251" s="3" t="s">
        <v>23</v>
      </c>
      <c r="Q251" s="5"/>
    </row>
    <row r="252" spans="1:17" ht="46.5">
      <c r="A252" s="5">
        <v>247</v>
      </c>
      <c r="B252" s="6" t="s">
        <v>16</v>
      </c>
      <c r="C252" s="5" t="str">
        <f>HYPERLINK("http://data.overheid.nl/data/dataset/actuele-waterdata-reeksen-rijkswaterstaat","Actuele waterdata reeksen - Rijkswaterstaat")</f>
        <v>Actuele waterdata reeksen - Rijkswaterstaat</v>
      </c>
      <c r="D252" s="6" t="s">
        <v>17</v>
      </c>
      <c r="E252" s="5" t="s">
        <v>18</v>
      </c>
      <c r="F252" s="6" t="s">
        <v>813</v>
      </c>
      <c r="G252" s="5" t="s">
        <v>194</v>
      </c>
      <c r="H252" s="6" t="s">
        <v>20</v>
      </c>
      <c r="I252" s="5" t="s">
        <v>21</v>
      </c>
      <c r="J252" s="4" t="s">
        <v>22</v>
      </c>
      <c r="K252" s="2" t="s">
        <v>23</v>
      </c>
      <c r="L252" s="6" t="s">
        <v>24</v>
      </c>
      <c r="M252" s="5" t="s">
        <v>25</v>
      </c>
      <c r="N252" s="3" t="s">
        <v>26</v>
      </c>
      <c r="O252" s="5">
        <v>10</v>
      </c>
      <c r="P252" s="3" t="s">
        <v>23</v>
      </c>
      <c r="Q252" s="5"/>
    </row>
    <row r="253" spans="1:17" ht="62">
      <c r="A253" s="5">
        <v>248</v>
      </c>
      <c r="B253" s="6" t="s">
        <v>16</v>
      </c>
      <c r="C253" s="5" t="str">
        <f>HYPERLINK("http://data.overheid.nl/data/dataset/overzicht-vlieglijnen-kribben-lek-en-nederrijn-2011","Overzicht vlieglijnen kribben Lek en Nederrijn 2011")</f>
        <v>Overzicht vlieglijnen kribben Lek en Nederrijn 2011</v>
      </c>
      <c r="D253" s="6" t="s">
        <v>17</v>
      </c>
      <c r="E253" s="5" t="s">
        <v>18</v>
      </c>
      <c r="F253" s="6" t="s">
        <v>813</v>
      </c>
      <c r="G253" s="5" t="s">
        <v>195</v>
      </c>
      <c r="H253" s="6" t="s">
        <v>20</v>
      </c>
      <c r="I253" s="5" t="s">
        <v>21</v>
      </c>
      <c r="J253" s="4" t="s">
        <v>22</v>
      </c>
      <c r="K253" s="2" t="s">
        <v>23</v>
      </c>
      <c r="L253" s="6" t="s">
        <v>24</v>
      </c>
      <c r="M253" s="5" t="s">
        <v>25</v>
      </c>
      <c r="N253" s="3" t="s">
        <v>26</v>
      </c>
      <c r="O253" s="5">
        <v>2</v>
      </c>
      <c r="P253" s="3" t="s">
        <v>23</v>
      </c>
      <c r="Q253" s="5"/>
    </row>
    <row r="254" spans="1:17" ht="31">
      <c r="A254" s="5">
        <v>249</v>
      </c>
      <c r="B254" s="6" t="s">
        <v>16</v>
      </c>
      <c r="C254" s="5" t="str">
        <f>HYPERLINK("http://data.overheid.nl/data/dataset/orthofotomozaiek-punt-van-reide-falsecolor-2012","Orthofotomozaiek Punt van Reide Falsecolor 2012")</f>
        <v>Orthofotomozaiek Punt van Reide Falsecolor 2012</v>
      </c>
      <c r="D254" s="6" t="s">
        <v>17</v>
      </c>
      <c r="E254" s="5" t="s">
        <v>18</v>
      </c>
      <c r="F254" s="6" t="s">
        <v>813</v>
      </c>
      <c r="G254" s="5" t="s">
        <v>196</v>
      </c>
      <c r="H254" s="6" t="s">
        <v>20</v>
      </c>
      <c r="I254" s="5" t="s">
        <v>21</v>
      </c>
      <c r="J254" s="4" t="s">
        <v>22</v>
      </c>
      <c r="K254" s="2" t="s">
        <v>23</v>
      </c>
      <c r="L254" s="6" t="s">
        <v>24</v>
      </c>
      <c r="M254" s="5" t="s">
        <v>25</v>
      </c>
      <c r="N254" s="3" t="s">
        <v>26</v>
      </c>
      <c r="O254" s="5">
        <v>2</v>
      </c>
      <c r="P254" s="3" t="s">
        <v>23</v>
      </c>
      <c r="Q254" s="5"/>
    </row>
    <row r="255" spans="1:17" ht="31">
      <c r="A255" s="5">
        <v>250</v>
      </c>
      <c r="B255" s="6" t="s">
        <v>16</v>
      </c>
      <c r="C255" s="5" t="str">
        <f>HYPERLINK("http://data.overheid.nl/data/dataset/orthofotomozaiek-griend-falsecolor-2012","Orthofotomozaiek Griend Falsecolor 2012")</f>
        <v>Orthofotomozaiek Griend Falsecolor 2012</v>
      </c>
      <c r="D255" s="6" t="s">
        <v>17</v>
      </c>
      <c r="E255" s="5" t="s">
        <v>18</v>
      </c>
      <c r="F255" s="6" t="s">
        <v>813</v>
      </c>
      <c r="G255" s="5" t="s">
        <v>197</v>
      </c>
      <c r="H255" s="6" t="s">
        <v>20</v>
      </c>
      <c r="I255" s="5" t="s">
        <v>21</v>
      </c>
      <c r="J255" s="4" t="s">
        <v>22</v>
      </c>
      <c r="K255" s="2" t="s">
        <v>23</v>
      </c>
      <c r="L255" s="6" t="s">
        <v>24</v>
      </c>
      <c r="M255" s="5" t="s">
        <v>25</v>
      </c>
      <c r="N255" s="3" t="s">
        <v>26</v>
      </c>
      <c r="O255" s="5">
        <v>2</v>
      </c>
      <c r="P255" s="3" t="s">
        <v>23</v>
      </c>
      <c r="Q255" s="5"/>
    </row>
    <row r="256" spans="1:17" ht="31">
      <c r="A256" s="5">
        <v>251</v>
      </c>
      <c r="B256" s="6" t="s">
        <v>16</v>
      </c>
      <c r="C256" s="5" t="str">
        <f>HYPERLINK("http://data.overheid.nl/data/dataset/orthofotomozaiek-dollard-falsecolor-2012","Orthofotomozaiek Dollard Falsecolor 2012")</f>
        <v>Orthofotomozaiek Dollard Falsecolor 2012</v>
      </c>
      <c r="D256" s="6" t="s">
        <v>17</v>
      </c>
      <c r="E256" s="5" t="s">
        <v>18</v>
      </c>
      <c r="F256" s="6" t="s">
        <v>813</v>
      </c>
      <c r="G256" s="5" t="s">
        <v>198</v>
      </c>
      <c r="H256" s="6" t="s">
        <v>20</v>
      </c>
      <c r="I256" s="5" t="s">
        <v>21</v>
      </c>
      <c r="J256" s="4" t="s">
        <v>22</v>
      </c>
      <c r="K256" s="2" t="s">
        <v>23</v>
      </c>
      <c r="L256" s="6" t="s">
        <v>24</v>
      </c>
      <c r="M256" s="5" t="s">
        <v>25</v>
      </c>
      <c r="N256" s="3" t="s">
        <v>26</v>
      </c>
      <c r="O256" s="5">
        <v>2</v>
      </c>
      <c r="P256" s="3" t="s">
        <v>23</v>
      </c>
      <c r="Q256" s="5"/>
    </row>
    <row r="257" spans="1:17" ht="46.5">
      <c r="A257" s="5">
        <v>252</v>
      </c>
      <c r="B257" s="6" t="s">
        <v>16</v>
      </c>
      <c r="C257" s="5" t="str">
        <f>HYPERLINK("http://data.overheid.nl/data/dataset/orthofotomozaiek-bosplaat-terschelling-falsecolor-2012","Orthofotomozaiek Bosplaat Terschelling Falsecolor 2012")</f>
        <v>Orthofotomozaiek Bosplaat Terschelling Falsecolor 2012</v>
      </c>
      <c r="D257" s="6" t="s">
        <v>17</v>
      </c>
      <c r="E257" s="5" t="s">
        <v>18</v>
      </c>
      <c r="F257" s="6" t="s">
        <v>813</v>
      </c>
      <c r="G257" s="5" t="s">
        <v>199</v>
      </c>
      <c r="H257" s="6" t="s">
        <v>20</v>
      </c>
      <c r="I257" s="5" t="s">
        <v>21</v>
      </c>
      <c r="J257" s="4" t="s">
        <v>22</v>
      </c>
      <c r="K257" s="2" t="s">
        <v>23</v>
      </c>
      <c r="L257" s="6" t="s">
        <v>24</v>
      </c>
      <c r="M257" s="5" t="s">
        <v>25</v>
      </c>
      <c r="N257" s="3" t="s">
        <v>26</v>
      </c>
      <c r="O257" s="5">
        <v>2</v>
      </c>
      <c r="P257" s="3" t="s">
        <v>23</v>
      </c>
      <c r="Q257" s="5"/>
    </row>
    <row r="258" spans="1:17" ht="46.5">
      <c r="A258" s="5">
        <v>253</v>
      </c>
      <c r="B258" s="6" t="s">
        <v>16</v>
      </c>
      <c r="C258" s="5" t="str">
        <f>HYPERLINK("http://data.overheid.nl/data/dataset/kwaliteit-kunstwerken-2006","Kwaliteit Kunstwerken 2006")</f>
        <v>Kwaliteit Kunstwerken 2006</v>
      </c>
      <c r="D258" s="6" t="s">
        <v>17</v>
      </c>
      <c r="E258" s="5" t="s">
        <v>18</v>
      </c>
      <c r="F258" s="6" t="s">
        <v>813</v>
      </c>
      <c r="G258" s="5" t="s">
        <v>200</v>
      </c>
      <c r="H258" s="6" t="s">
        <v>28</v>
      </c>
      <c r="I258" s="5" t="s">
        <v>21</v>
      </c>
      <c r="J258" s="4" t="s">
        <v>22</v>
      </c>
      <c r="K258" s="2" t="s">
        <v>23</v>
      </c>
      <c r="L258" s="6" t="s">
        <v>24</v>
      </c>
      <c r="M258" s="5" t="s">
        <v>25</v>
      </c>
      <c r="N258" s="3" t="s">
        <v>26</v>
      </c>
      <c r="O258" s="5">
        <v>6</v>
      </c>
      <c r="P258" s="3" t="s">
        <v>23</v>
      </c>
      <c r="Q258" s="5"/>
    </row>
    <row r="259" spans="1:17" ht="124">
      <c r="A259" s="5">
        <v>254</v>
      </c>
      <c r="B259" s="6" t="s">
        <v>16</v>
      </c>
      <c r="C259" s="5" t="str">
        <f>HYPERLINK("http://data.overheid.nl/data/dataset/locaties-helicopterfotos-20110627","Locaties helicopterfotos 20110627")</f>
        <v>Locaties helicopterfotos 20110627</v>
      </c>
      <c r="D259" s="6" t="s">
        <v>17</v>
      </c>
      <c r="E259" s="5" t="s">
        <v>18</v>
      </c>
      <c r="F259" s="6" t="s">
        <v>813</v>
      </c>
      <c r="G259" s="5" t="s">
        <v>201</v>
      </c>
      <c r="H259" s="6" t="s">
        <v>20</v>
      </c>
      <c r="I259" s="5" t="s">
        <v>21</v>
      </c>
      <c r="J259" s="4" t="s">
        <v>22</v>
      </c>
      <c r="K259" s="2" t="s">
        <v>23</v>
      </c>
      <c r="L259" s="6" t="s">
        <v>24</v>
      </c>
      <c r="M259" s="5" t="s">
        <v>25</v>
      </c>
      <c r="N259" s="3" t="s">
        <v>26</v>
      </c>
      <c r="O259" s="5">
        <v>2</v>
      </c>
      <c r="P259" s="3" t="s">
        <v>23</v>
      </c>
      <c r="Q259" s="5"/>
    </row>
    <row r="260" spans="1:17" ht="46.5">
      <c r="A260" s="5">
        <v>255</v>
      </c>
      <c r="B260" s="6" t="s">
        <v>16</v>
      </c>
      <c r="C260" s="5" t="str">
        <f>HYPERLINK("http://data.overheid.nl/data/dataset/begrenzing-werkingsgebied-vegetatielegger","Begrenzing werkingsgebied Vegetatielegger")</f>
        <v>Begrenzing werkingsgebied Vegetatielegger</v>
      </c>
      <c r="D260" s="6" t="s">
        <v>17</v>
      </c>
      <c r="E260" s="5" t="s">
        <v>18</v>
      </c>
      <c r="F260" s="6" t="s">
        <v>813</v>
      </c>
      <c r="G260" s="5" t="s">
        <v>202</v>
      </c>
      <c r="H260" s="6" t="s">
        <v>20</v>
      </c>
      <c r="I260" s="5" t="s">
        <v>21</v>
      </c>
      <c r="J260" s="4" t="s">
        <v>22</v>
      </c>
      <c r="K260" s="2" t="s">
        <v>23</v>
      </c>
      <c r="L260" s="6" t="s">
        <v>24</v>
      </c>
      <c r="M260" s="5" t="s">
        <v>25</v>
      </c>
      <c r="N260" s="3" t="s">
        <v>26</v>
      </c>
      <c r="O260" s="5">
        <v>2</v>
      </c>
      <c r="P260" s="3" t="s">
        <v>23</v>
      </c>
      <c r="Q260" s="5"/>
    </row>
    <row r="261" spans="1:17" ht="46.5">
      <c r="A261" s="5">
        <v>256</v>
      </c>
      <c r="B261" s="6" t="s">
        <v>16</v>
      </c>
      <c r="C261" s="5" t="str">
        <f>HYPERLINK("http://data.overheid.nl/data/dataset/begrenzing-vrijstellingsgebieden-vegetatielegger","Begrenzing vrijstellingsgebieden Vegetatielegger")</f>
        <v>Begrenzing vrijstellingsgebieden Vegetatielegger</v>
      </c>
      <c r="D261" s="6" t="s">
        <v>17</v>
      </c>
      <c r="E261" s="5" t="s">
        <v>18</v>
      </c>
      <c r="F261" s="6" t="s">
        <v>813</v>
      </c>
      <c r="G261" s="5" t="s">
        <v>203</v>
      </c>
      <c r="H261" s="6" t="s">
        <v>28</v>
      </c>
      <c r="I261" s="5" t="s">
        <v>21</v>
      </c>
      <c r="J261" s="4" t="s">
        <v>22</v>
      </c>
      <c r="K261" s="2" t="s">
        <v>23</v>
      </c>
      <c r="L261" s="6" t="s">
        <v>24</v>
      </c>
      <c r="M261" s="5" t="s">
        <v>25</v>
      </c>
      <c r="N261" s="3" t="s">
        <v>26</v>
      </c>
      <c r="O261" s="5">
        <v>2</v>
      </c>
      <c r="P261" s="3" t="s">
        <v>23</v>
      </c>
      <c r="Q261" s="5"/>
    </row>
    <row r="262" spans="1:17" ht="31">
      <c r="A262" s="5">
        <v>257</v>
      </c>
      <c r="B262" s="6" t="s">
        <v>16</v>
      </c>
      <c r="C262" s="5" t="str">
        <f>HYPERLINK("http://data.overheid.nl/data/dataset/mirt-projectenboek-2016-vlakken-01","Mirt projectenboek 2016 - vlakken")</f>
        <v>Mirt projectenboek 2016 - vlakken</v>
      </c>
      <c r="D262" s="6" t="s">
        <v>17</v>
      </c>
      <c r="E262" s="5" t="s">
        <v>18</v>
      </c>
      <c r="F262" s="6" t="s">
        <v>813</v>
      </c>
      <c r="G262" s="5" t="s">
        <v>204</v>
      </c>
      <c r="H262" s="6" t="s">
        <v>20</v>
      </c>
      <c r="I262" s="5" t="s">
        <v>21</v>
      </c>
      <c r="J262" s="4" t="s">
        <v>22</v>
      </c>
      <c r="K262" s="2" t="s">
        <v>23</v>
      </c>
      <c r="L262" s="6" t="s">
        <v>24</v>
      </c>
      <c r="M262" s="5" t="s">
        <v>25</v>
      </c>
      <c r="N262" s="3" t="s">
        <v>26</v>
      </c>
      <c r="O262" s="5">
        <v>6</v>
      </c>
      <c r="P262" s="3" t="s">
        <v>23</v>
      </c>
      <c r="Q262" s="5"/>
    </row>
    <row r="263" spans="1:17" ht="31">
      <c r="A263" s="5">
        <v>258</v>
      </c>
      <c r="B263" s="6" t="s">
        <v>16</v>
      </c>
      <c r="C263" s="5" t="str">
        <f>HYPERLINK("http://data.overheid.nl/data/dataset/mirt-projectenboek-2016-punten-01","Mirt projectenboek 2016 - punten")</f>
        <v>Mirt projectenboek 2016 - punten</v>
      </c>
      <c r="D263" s="6" t="s">
        <v>17</v>
      </c>
      <c r="E263" s="5" t="s">
        <v>18</v>
      </c>
      <c r="F263" s="6" t="s">
        <v>813</v>
      </c>
      <c r="G263" s="5" t="s">
        <v>204</v>
      </c>
      <c r="H263" s="6" t="s">
        <v>20</v>
      </c>
      <c r="I263" s="5" t="s">
        <v>21</v>
      </c>
      <c r="J263" s="4" t="s">
        <v>22</v>
      </c>
      <c r="K263" s="2" t="s">
        <v>23</v>
      </c>
      <c r="L263" s="6" t="s">
        <v>24</v>
      </c>
      <c r="M263" s="5" t="s">
        <v>25</v>
      </c>
      <c r="N263" s="3" t="s">
        <v>26</v>
      </c>
      <c r="O263" s="5">
        <v>6</v>
      </c>
      <c r="P263" s="3" t="s">
        <v>23</v>
      </c>
      <c r="Q263" s="5"/>
    </row>
    <row r="264" spans="1:17" ht="31">
      <c r="A264" s="5">
        <v>259</v>
      </c>
      <c r="B264" s="6" t="s">
        <v>16</v>
      </c>
      <c r="C264" s="5" t="str">
        <f>HYPERLINK("http://data.overheid.nl/data/dataset/mirt-projectenboek-2016-points-of-interest","Mirt projectenboek 2016 - points of interest")</f>
        <v>Mirt projectenboek 2016 - points of interest</v>
      </c>
      <c r="D264" s="6" t="s">
        <v>17</v>
      </c>
      <c r="E264" s="5" t="s">
        <v>18</v>
      </c>
      <c r="F264" s="6" t="s">
        <v>813</v>
      </c>
      <c r="G264" s="5" t="s">
        <v>204</v>
      </c>
      <c r="H264" s="6" t="s">
        <v>20</v>
      </c>
      <c r="I264" s="5" t="s">
        <v>21</v>
      </c>
      <c r="J264" s="4" t="s">
        <v>22</v>
      </c>
      <c r="K264" s="2" t="s">
        <v>23</v>
      </c>
      <c r="L264" s="6" t="s">
        <v>24</v>
      </c>
      <c r="M264" s="5" t="s">
        <v>25</v>
      </c>
      <c r="N264" s="3" t="s">
        <v>26</v>
      </c>
      <c r="O264" s="5">
        <v>6</v>
      </c>
      <c r="P264" s="3" t="s">
        <v>23</v>
      </c>
      <c r="Q264" s="5"/>
    </row>
    <row r="265" spans="1:17" ht="31">
      <c r="A265" s="5">
        <v>260</v>
      </c>
      <c r="B265" s="6" t="s">
        <v>16</v>
      </c>
      <c r="C265" s="5" t="str">
        <f>HYPERLINK("http://data.overheid.nl/data/dataset/mirt-projectenboek-2016-lijnen","Mirt-projectenboek 2016 - lijnen")</f>
        <v>Mirt-projectenboek 2016 - lijnen</v>
      </c>
      <c r="D265" s="6" t="s">
        <v>17</v>
      </c>
      <c r="E265" s="5" t="s">
        <v>18</v>
      </c>
      <c r="F265" s="6" t="s">
        <v>813</v>
      </c>
      <c r="G265" s="5" t="s">
        <v>204</v>
      </c>
      <c r="H265" s="6" t="s">
        <v>20</v>
      </c>
      <c r="I265" s="5" t="s">
        <v>21</v>
      </c>
      <c r="J265" s="4" t="s">
        <v>22</v>
      </c>
      <c r="K265" s="2" t="s">
        <v>23</v>
      </c>
      <c r="L265" s="6" t="s">
        <v>24</v>
      </c>
      <c r="M265" s="5" t="s">
        <v>25</v>
      </c>
      <c r="N265" s="3" t="s">
        <v>26</v>
      </c>
      <c r="O265" s="5">
        <v>6</v>
      </c>
      <c r="P265" s="3" t="s">
        <v>23</v>
      </c>
      <c r="Q265" s="5"/>
    </row>
    <row r="266" spans="1:17" ht="62">
      <c r="A266" s="5">
        <v>261</v>
      </c>
      <c r="B266" s="6" t="s">
        <v>16</v>
      </c>
      <c r="C266" s="5" t="str">
        <f>HYPERLINK("http://data.overheid.nl/data/dataset/overzicht-vlieglijnen-westerschelde-2014","Overzicht vlieglijnen Westerschelde 2014")</f>
        <v>Overzicht vlieglijnen Westerschelde 2014</v>
      </c>
      <c r="D266" s="6" t="s">
        <v>17</v>
      </c>
      <c r="E266" s="5" t="s">
        <v>18</v>
      </c>
      <c r="F266" s="6" t="s">
        <v>813</v>
      </c>
      <c r="G266" s="5" t="s">
        <v>36</v>
      </c>
      <c r="H266" s="6" t="s">
        <v>20</v>
      </c>
      <c r="I266" s="5" t="s">
        <v>21</v>
      </c>
      <c r="J266" s="4" t="s">
        <v>22</v>
      </c>
      <c r="K266" s="2" t="s">
        <v>23</v>
      </c>
      <c r="L266" s="6" t="s">
        <v>24</v>
      </c>
      <c r="M266" s="5" t="s">
        <v>25</v>
      </c>
      <c r="N266" s="3" t="s">
        <v>26</v>
      </c>
      <c r="O266" s="5">
        <v>2</v>
      </c>
      <c r="P266" s="3" t="s">
        <v>23</v>
      </c>
      <c r="Q266" s="5"/>
    </row>
    <row r="267" spans="1:17" ht="62">
      <c r="A267" s="5">
        <v>262</v>
      </c>
      <c r="B267" s="6" t="s">
        <v>16</v>
      </c>
      <c r="C267" s="5" t="str">
        <f>HYPERLINK("http://data.overheid.nl/data/dataset/hoogtebestand-westerschelde-2014","Hoogtebestand Westerschelde 2014")</f>
        <v>Hoogtebestand Westerschelde 2014</v>
      </c>
      <c r="D267" s="6" t="s">
        <v>17</v>
      </c>
      <c r="E267" s="5" t="s">
        <v>18</v>
      </c>
      <c r="F267" s="6" t="s">
        <v>813</v>
      </c>
      <c r="G267" s="5" t="s">
        <v>205</v>
      </c>
      <c r="H267" s="6" t="s">
        <v>20</v>
      </c>
      <c r="I267" s="5" t="s">
        <v>21</v>
      </c>
      <c r="J267" s="4" t="s">
        <v>22</v>
      </c>
      <c r="K267" s="2" t="s">
        <v>23</v>
      </c>
      <c r="L267" s="6" t="s">
        <v>24</v>
      </c>
      <c r="M267" s="5" t="s">
        <v>25</v>
      </c>
      <c r="N267" s="3" t="s">
        <v>26</v>
      </c>
      <c r="O267" s="5">
        <v>2</v>
      </c>
      <c r="P267" s="3" t="s">
        <v>23</v>
      </c>
      <c r="Q267" s="5"/>
    </row>
    <row r="268" spans="1:17" ht="108.5">
      <c r="A268" s="5">
        <v>263</v>
      </c>
      <c r="B268" s="6" t="s">
        <v>16</v>
      </c>
      <c r="C268" s="5" t="str">
        <f>HYPERLINK("http://data.overheid.nl/data/dataset/geluidbelasting-rijkswegen-in-nederland-2006-nacht-gemiddelde","Geluidbelasting rijkswegen in Nederland 2006 (nacht gemiddelde)")</f>
        <v>Geluidbelasting rijkswegen in Nederland 2006 (nacht gemiddelde)</v>
      </c>
      <c r="D268" s="6" t="s">
        <v>17</v>
      </c>
      <c r="E268" s="5" t="s">
        <v>18</v>
      </c>
      <c r="F268" s="6" t="s">
        <v>813</v>
      </c>
      <c r="G268" s="5" t="s">
        <v>206</v>
      </c>
      <c r="H268" s="6" t="s">
        <v>28</v>
      </c>
      <c r="I268" s="5" t="s">
        <v>21</v>
      </c>
      <c r="J268" s="4" t="s">
        <v>22</v>
      </c>
      <c r="K268" s="2" t="s">
        <v>23</v>
      </c>
      <c r="L268" s="6" t="s">
        <v>24</v>
      </c>
      <c r="M268" s="5" t="s">
        <v>25</v>
      </c>
      <c r="N268" s="3" t="s">
        <v>26</v>
      </c>
      <c r="O268" s="5">
        <v>4</v>
      </c>
      <c r="P268" s="3" t="s">
        <v>23</v>
      </c>
      <c r="Q268" s="5"/>
    </row>
    <row r="269" spans="1:17" ht="108.5">
      <c r="A269" s="5">
        <v>264</v>
      </c>
      <c r="B269" s="6" t="s">
        <v>16</v>
      </c>
      <c r="C269" s="5" t="str">
        <f>HYPERLINK("http://data.overheid.nl/data/dataset/geluidbelasting-rijkswegen-in-nederland-2006-24-uurs-gemiddelde","Geluidbelasting rijkswegen in Nederland 2006 (24-uurs gemiddelde)")</f>
        <v>Geluidbelasting rijkswegen in Nederland 2006 (24-uurs gemiddelde)</v>
      </c>
      <c r="D269" s="6" t="s">
        <v>17</v>
      </c>
      <c r="E269" s="5" t="s">
        <v>18</v>
      </c>
      <c r="F269" s="6" t="s">
        <v>813</v>
      </c>
      <c r="G269" s="5" t="s">
        <v>207</v>
      </c>
      <c r="H269" s="6" t="s">
        <v>20</v>
      </c>
      <c r="I269" s="5" t="s">
        <v>21</v>
      </c>
      <c r="J269" s="4" t="s">
        <v>22</v>
      </c>
      <c r="K269" s="2" t="s">
        <v>23</v>
      </c>
      <c r="L269" s="6" t="s">
        <v>24</v>
      </c>
      <c r="M269" s="5" t="s">
        <v>25</v>
      </c>
      <c r="N269" s="3" t="s">
        <v>26</v>
      </c>
      <c r="O269" s="5">
        <v>4</v>
      </c>
      <c r="P269" s="3" t="s">
        <v>23</v>
      </c>
      <c r="Q269" s="5"/>
    </row>
    <row r="270" spans="1:17" ht="139.5">
      <c r="A270" s="5">
        <v>265</v>
      </c>
      <c r="B270" s="6" t="s">
        <v>16</v>
      </c>
      <c r="C270" s="5" t="str">
        <f>HYPERLINK("http://data.overheid.nl/data/dataset/locaties-helicopterfotos-20110426","Locaties helicopterfotos 20110426")</f>
        <v>Locaties helicopterfotos 20110426</v>
      </c>
      <c r="D270" s="6" t="s">
        <v>17</v>
      </c>
      <c r="E270" s="5" t="s">
        <v>18</v>
      </c>
      <c r="F270" s="6" t="s">
        <v>813</v>
      </c>
      <c r="G270" s="5" t="s">
        <v>208</v>
      </c>
      <c r="H270" s="6" t="s">
        <v>20</v>
      </c>
      <c r="I270" s="5" t="s">
        <v>21</v>
      </c>
      <c r="J270" s="4" t="s">
        <v>22</v>
      </c>
      <c r="K270" s="2" t="s">
        <v>23</v>
      </c>
      <c r="L270" s="6" t="s">
        <v>24</v>
      </c>
      <c r="M270" s="5" t="s">
        <v>25</v>
      </c>
      <c r="N270" s="3" t="s">
        <v>26</v>
      </c>
      <c r="O270" s="5">
        <v>2</v>
      </c>
      <c r="P270" s="3" t="s">
        <v>23</v>
      </c>
      <c r="Q270" s="5"/>
    </row>
    <row r="271" spans="1:17" ht="77.5">
      <c r="A271" s="5">
        <v>266</v>
      </c>
      <c r="B271" s="6" t="s">
        <v>16</v>
      </c>
      <c r="C271" s="5" t="str">
        <f>HYPERLINK("http://data.overheid.nl/data/dataset/locaties-helicopterfotos-20100618","Locaties helicopterfotos 20100618")</f>
        <v>Locaties helicopterfotos 20100618</v>
      </c>
      <c r="D271" s="6" t="s">
        <v>17</v>
      </c>
      <c r="E271" s="5" t="s">
        <v>18</v>
      </c>
      <c r="F271" s="6" t="s">
        <v>813</v>
      </c>
      <c r="G271" s="5" t="s">
        <v>209</v>
      </c>
      <c r="H271" s="6" t="s">
        <v>20</v>
      </c>
      <c r="I271" s="5" t="s">
        <v>21</v>
      </c>
      <c r="J271" s="4" t="s">
        <v>22</v>
      </c>
      <c r="K271" s="2" t="s">
        <v>23</v>
      </c>
      <c r="L271" s="6" t="s">
        <v>24</v>
      </c>
      <c r="M271" s="5" t="s">
        <v>25</v>
      </c>
      <c r="N271" s="3" t="s">
        <v>26</v>
      </c>
      <c r="O271" s="5">
        <v>2</v>
      </c>
      <c r="P271" s="3" t="s">
        <v>23</v>
      </c>
      <c r="Q271" s="5"/>
    </row>
    <row r="272" spans="1:17" ht="31">
      <c r="A272" s="5">
        <v>267</v>
      </c>
      <c r="B272" s="6" t="s">
        <v>16</v>
      </c>
      <c r="C272" s="5" t="str">
        <f>HYPERLINK("http://data.overheid.nl/data/dataset/mirt-projectenboek-2015-vlakken","Mirt projectenboek 2015 - vlakken")</f>
        <v>Mirt projectenboek 2015 - vlakken</v>
      </c>
      <c r="D272" s="6" t="s">
        <v>17</v>
      </c>
      <c r="E272" s="5" t="s">
        <v>18</v>
      </c>
      <c r="F272" s="6" t="s">
        <v>813</v>
      </c>
      <c r="G272" s="5" t="s">
        <v>210</v>
      </c>
      <c r="H272" s="6" t="s">
        <v>20</v>
      </c>
      <c r="I272" s="5" t="s">
        <v>21</v>
      </c>
      <c r="J272" s="4" t="s">
        <v>22</v>
      </c>
      <c r="K272" s="2" t="s">
        <v>23</v>
      </c>
      <c r="L272" s="6" t="s">
        <v>24</v>
      </c>
      <c r="M272" s="5" t="s">
        <v>25</v>
      </c>
      <c r="N272" s="3" t="s">
        <v>26</v>
      </c>
      <c r="O272" s="5">
        <v>6</v>
      </c>
      <c r="P272" s="3" t="s">
        <v>23</v>
      </c>
      <c r="Q272" s="5"/>
    </row>
    <row r="273" spans="1:17" ht="31">
      <c r="A273" s="5">
        <v>268</v>
      </c>
      <c r="B273" s="6" t="s">
        <v>16</v>
      </c>
      <c r="C273" s="5" t="str">
        <f>HYPERLINK("http://data.overheid.nl/data/dataset/mirt-projectenboek-2015-punten","Mirt projectenboek 2015 - punten")</f>
        <v>Mirt projectenboek 2015 - punten</v>
      </c>
      <c r="D273" s="6" t="s">
        <v>17</v>
      </c>
      <c r="E273" s="5" t="s">
        <v>18</v>
      </c>
      <c r="F273" s="6" t="s">
        <v>813</v>
      </c>
      <c r="G273" s="5" t="s">
        <v>210</v>
      </c>
      <c r="H273" s="6" t="s">
        <v>20</v>
      </c>
      <c r="I273" s="5" t="s">
        <v>21</v>
      </c>
      <c r="J273" s="4" t="s">
        <v>22</v>
      </c>
      <c r="K273" s="2" t="s">
        <v>23</v>
      </c>
      <c r="L273" s="6" t="s">
        <v>24</v>
      </c>
      <c r="M273" s="5" t="s">
        <v>25</v>
      </c>
      <c r="N273" s="3" t="s">
        <v>26</v>
      </c>
      <c r="O273" s="5">
        <v>6</v>
      </c>
      <c r="P273" s="3" t="s">
        <v>23</v>
      </c>
      <c r="Q273" s="5"/>
    </row>
    <row r="274" spans="1:17" ht="31">
      <c r="A274" s="5">
        <v>269</v>
      </c>
      <c r="B274" s="6" t="s">
        <v>16</v>
      </c>
      <c r="C274" s="5" t="str">
        <f>HYPERLINK("http://data.overheid.nl/data/dataset/mirt-projectenboek-2015-points-of-interest","Mirt projectenboek 2015 - points of interest")</f>
        <v>Mirt projectenboek 2015 - points of interest</v>
      </c>
      <c r="D274" s="6" t="s">
        <v>17</v>
      </c>
      <c r="E274" s="5" t="s">
        <v>18</v>
      </c>
      <c r="F274" s="6" t="s">
        <v>813</v>
      </c>
      <c r="G274" s="5" t="s">
        <v>210</v>
      </c>
      <c r="H274" s="6" t="s">
        <v>20</v>
      </c>
      <c r="I274" s="5" t="s">
        <v>21</v>
      </c>
      <c r="J274" s="4" t="s">
        <v>22</v>
      </c>
      <c r="K274" s="2" t="s">
        <v>23</v>
      </c>
      <c r="L274" s="6" t="s">
        <v>24</v>
      </c>
      <c r="M274" s="5" t="s">
        <v>25</v>
      </c>
      <c r="N274" s="3" t="s">
        <v>26</v>
      </c>
      <c r="O274" s="5">
        <v>6</v>
      </c>
      <c r="P274" s="3" t="s">
        <v>23</v>
      </c>
      <c r="Q274" s="5"/>
    </row>
    <row r="275" spans="1:17" ht="31">
      <c r="A275" s="5">
        <v>270</v>
      </c>
      <c r="B275" s="6" t="s">
        <v>16</v>
      </c>
      <c r="C275" s="5" t="str">
        <f>HYPERLINK("http://data.overheid.nl/data/dataset/mirt-projectenboek-2015-lijnen","Mirt-projectenboek 2015 - lijnen")</f>
        <v>Mirt-projectenboek 2015 - lijnen</v>
      </c>
      <c r="D275" s="6" t="s">
        <v>17</v>
      </c>
      <c r="E275" s="5" t="s">
        <v>18</v>
      </c>
      <c r="F275" s="6" t="s">
        <v>813</v>
      </c>
      <c r="G275" s="5" t="s">
        <v>210</v>
      </c>
      <c r="H275" s="6" t="s">
        <v>20</v>
      </c>
      <c r="I275" s="5" t="s">
        <v>21</v>
      </c>
      <c r="J275" s="4" t="s">
        <v>22</v>
      </c>
      <c r="K275" s="2" t="s">
        <v>23</v>
      </c>
      <c r="L275" s="6" t="s">
        <v>24</v>
      </c>
      <c r="M275" s="5" t="s">
        <v>25</v>
      </c>
      <c r="N275" s="3" t="s">
        <v>26</v>
      </c>
      <c r="O275" s="5">
        <v>6</v>
      </c>
      <c r="P275" s="3" t="s">
        <v>23</v>
      </c>
      <c r="Q275" s="5"/>
    </row>
    <row r="276" spans="1:17" ht="31">
      <c r="A276" s="5">
        <v>271</v>
      </c>
      <c r="B276" s="6" t="s">
        <v>16</v>
      </c>
      <c r="C276" s="5" t="str">
        <f>HYPERLINK("http://data.overheid.nl/data/dataset/deltaprogramma-bestanden-en-kennis-deelprogramma-s","Deltaprogramma - bestanden en kennis deelprogramma's")</f>
        <v>Deltaprogramma - bestanden en kennis deelprogramma's</v>
      </c>
      <c r="D276" s="6" t="s">
        <v>17</v>
      </c>
      <c r="E276" s="5" t="s">
        <v>18</v>
      </c>
      <c r="F276" s="6" t="s">
        <v>813</v>
      </c>
      <c r="G276" s="5" t="s">
        <v>211</v>
      </c>
      <c r="H276" s="6" t="s">
        <v>20</v>
      </c>
      <c r="I276" s="5" t="s">
        <v>21</v>
      </c>
      <c r="J276" s="4" t="s">
        <v>22</v>
      </c>
      <c r="K276" s="2" t="s">
        <v>23</v>
      </c>
      <c r="L276" s="6" t="s">
        <v>24</v>
      </c>
      <c r="M276" s="5" t="s">
        <v>25</v>
      </c>
      <c r="N276" s="3" t="s">
        <v>26</v>
      </c>
      <c r="O276" s="5">
        <v>1</v>
      </c>
      <c r="P276" s="3" t="s">
        <v>23</v>
      </c>
      <c r="Q276" s="5"/>
    </row>
    <row r="277" spans="1:17" ht="31">
      <c r="A277" s="5">
        <v>272</v>
      </c>
      <c r="B277" s="6" t="s">
        <v>16</v>
      </c>
      <c r="C277" s="5" t="str">
        <f>HYPERLINK("http://data.overheid.nl/data/dataset/video-s-en-foto-s-van-geluidwerende-voorzieningen-midden-nederland-zuid-utrecht","Video's en foto's van geluidwerende voorzieningen Midden-Nederland-Zuid (Utrecht)")</f>
        <v>Video's en foto's van geluidwerende voorzieningen Midden-Nederland-Zuid (Utrecht)</v>
      </c>
      <c r="D277" s="6" t="s">
        <v>17</v>
      </c>
      <c r="E277" s="5" t="s">
        <v>18</v>
      </c>
      <c r="F277" s="6" t="s">
        <v>813</v>
      </c>
      <c r="G277" s="5" t="s">
        <v>212</v>
      </c>
      <c r="H277" s="6" t="s">
        <v>28</v>
      </c>
      <c r="I277" s="5" t="s">
        <v>21</v>
      </c>
      <c r="J277" s="4" t="s">
        <v>22</v>
      </c>
      <c r="K277" s="2" t="s">
        <v>23</v>
      </c>
      <c r="L277" s="6" t="s">
        <v>24</v>
      </c>
      <c r="M277" s="5" t="s">
        <v>25</v>
      </c>
      <c r="N277" s="3" t="s">
        <v>26</v>
      </c>
      <c r="O277" s="5">
        <v>2</v>
      </c>
      <c r="P277" s="3" t="s">
        <v>23</v>
      </c>
      <c r="Q277" s="5"/>
    </row>
    <row r="278" spans="1:17" ht="31">
      <c r="A278" s="5">
        <v>273</v>
      </c>
      <c r="B278" s="6" t="s">
        <v>16</v>
      </c>
      <c r="C278" s="5" t="str">
        <f>HYPERLINK("http://data.overheid.nl/data/dataset/video-s-en-foto-s-van-geluidschermen-midden-nederland-zuid-utrecht-2013","Video's en foto's van geluidschermen Midden Nederland-Zuid (Utrecht) 2013")</f>
        <v>Video's en foto's van geluidschermen Midden Nederland-Zuid (Utrecht) 2013</v>
      </c>
      <c r="D278" s="6" t="s">
        <v>17</v>
      </c>
      <c r="E278" s="5" t="s">
        <v>18</v>
      </c>
      <c r="F278" s="6" t="s">
        <v>813</v>
      </c>
      <c r="G278" s="5" t="s">
        <v>213</v>
      </c>
      <c r="H278" s="6" t="s">
        <v>28</v>
      </c>
      <c r="I278" s="5" t="s">
        <v>21</v>
      </c>
      <c r="J278" s="4" t="s">
        <v>22</v>
      </c>
      <c r="K278" s="2" t="s">
        <v>23</v>
      </c>
      <c r="L278" s="6" t="s">
        <v>24</v>
      </c>
      <c r="M278" s="5" t="s">
        <v>25</v>
      </c>
      <c r="N278" s="3" t="s">
        <v>26</v>
      </c>
      <c r="O278" s="5">
        <v>2</v>
      </c>
      <c r="P278" s="3" t="s">
        <v>23</v>
      </c>
      <c r="Q278" s="5"/>
    </row>
    <row r="279" spans="1:17" ht="31">
      <c r="A279" s="5">
        <v>274</v>
      </c>
      <c r="B279" s="6" t="s">
        <v>16</v>
      </c>
      <c r="C279" s="5" t="str">
        <f>HYPERLINK("http://data.overheid.nl/data/dataset/vaarwegenkaart-nederland-2013","Vaarwegenkaart Nederland 2013")</f>
        <v>Vaarwegenkaart Nederland 2013</v>
      </c>
      <c r="D279" s="6" t="s">
        <v>17</v>
      </c>
      <c r="E279" s="5" t="s">
        <v>18</v>
      </c>
      <c r="F279" s="6" t="s">
        <v>813</v>
      </c>
      <c r="G279" s="5" t="s">
        <v>214</v>
      </c>
      <c r="H279" s="6" t="s">
        <v>20</v>
      </c>
      <c r="I279" s="5" t="s">
        <v>21</v>
      </c>
      <c r="J279" s="4" t="s">
        <v>22</v>
      </c>
      <c r="K279" s="2" t="s">
        <v>23</v>
      </c>
      <c r="L279" s="6" t="s">
        <v>24</v>
      </c>
      <c r="M279" s="5" t="s">
        <v>25</v>
      </c>
      <c r="N279" s="3" t="s">
        <v>26</v>
      </c>
      <c r="O279" s="5">
        <v>2</v>
      </c>
      <c r="P279" s="3" t="s">
        <v>23</v>
      </c>
      <c r="Q279" s="5"/>
    </row>
    <row r="280" spans="1:17" ht="46.5">
      <c r="A280" s="5">
        <v>275</v>
      </c>
      <c r="B280" s="6" t="s">
        <v>16</v>
      </c>
      <c r="C280" s="5" t="str">
        <f>HYPERLINK("http://data.overheid.nl/data/dataset/orthofotomozaiek-eroderende-massoevers-falsecolour-2011","Orthofotomozaiek Eroderende Massoevers Falsecolour 2011")</f>
        <v>Orthofotomozaiek Eroderende Massoevers Falsecolour 2011</v>
      </c>
      <c r="D280" s="6" t="s">
        <v>17</v>
      </c>
      <c r="E280" s="5" t="s">
        <v>18</v>
      </c>
      <c r="F280" s="6" t="s">
        <v>813</v>
      </c>
      <c r="G280" s="5" t="s">
        <v>215</v>
      </c>
      <c r="H280" s="6" t="s">
        <v>20</v>
      </c>
      <c r="I280" s="5" t="s">
        <v>21</v>
      </c>
      <c r="J280" s="4" t="s">
        <v>22</v>
      </c>
      <c r="K280" s="2" t="s">
        <v>23</v>
      </c>
      <c r="L280" s="6" t="s">
        <v>24</v>
      </c>
      <c r="M280" s="5" t="s">
        <v>25</v>
      </c>
      <c r="N280" s="3" t="s">
        <v>26</v>
      </c>
      <c r="O280" s="5">
        <v>2</v>
      </c>
      <c r="P280" s="3" t="s">
        <v>23</v>
      </c>
      <c r="Q280" s="5"/>
    </row>
    <row r="281" spans="1:17" ht="31">
      <c r="A281" s="5">
        <v>276</v>
      </c>
      <c r="B281" s="6" t="s">
        <v>16</v>
      </c>
      <c r="C281" s="5" t="str">
        <f>HYPERLINK("http://data.overheid.nl/data/dataset/verkeersscheidingsstelsel-symbolen-van-de-vaarrichtingen-en-ankers-tot-1-8-2013","Verkeersscheidingsstelsel (symbolen van de vaarrichtingen en ankers) tot 1-8-2013")</f>
        <v>Verkeersscheidingsstelsel (symbolen van de vaarrichtingen en ankers) tot 1-8-2013</v>
      </c>
      <c r="D281" s="6" t="s">
        <v>17</v>
      </c>
      <c r="E281" s="5" t="s">
        <v>18</v>
      </c>
      <c r="F281" s="6" t="s">
        <v>813</v>
      </c>
      <c r="G281" s="5" t="s">
        <v>216</v>
      </c>
      <c r="H281" s="6" t="s">
        <v>20</v>
      </c>
      <c r="I281" s="5" t="s">
        <v>21</v>
      </c>
      <c r="J281" s="4" t="s">
        <v>22</v>
      </c>
      <c r="K281" s="2" t="s">
        <v>23</v>
      </c>
      <c r="L281" s="6" t="s">
        <v>24</v>
      </c>
      <c r="M281" s="5" t="s">
        <v>25</v>
      </c>
      <c r="N281" s="3" t="s">
        <v>26</v>
      </c>
      <c r="O281" s="5">
        <v>2</v>
      </c>
      <c r="P281" s="3" t="s">
        <v>23</v>
      </c>
      <c r="Q281" s="5"/>
    </row>
    <row r="282" spans="1:17" ht="31">
      <c r="A282" s="5">
        <v>277</v>
      </c>
      <c r="B282" s="6" t="s">
        <v>16</v>
      </c>
      <c r="C282" s="5" t="str">
        <f>HYPERLINK("http://data.overheid.nl/data/dataset/verkeersscheidingsstelsel-op-de-noordzee-tot-1-8-2013","Verkeersscheidingsstelsel op de Noordzee tot 1-8-2013")</f>
        <v>Verkeersscheidingsstelsel op de Noordzee tot 1-8-2013</v>
      </c>
      <c r="D282" s="6" t="s">
        <v>17</v>
      </c>
      <c r="E282" s="5" t="s">
        <v>18</v>
      </c>
      <c r="F282" s="6" t="s">
        <v>813</v>
      </c>
      <c r="G282" s="5" t="s">
        <v>217</v>
      </c>
      <c r="H282" s="6" t="s">
        <v>20</v>
      </c>
      <c r="I282" s="5" t="s">
        <v>21</v>
      </c>
      <c r="J282" s="4" t="s">
        <v>22</v>
      </c>
      <c r="K282" s="2" t="s">
        <v>23</v>
      </c>
      <c r="L282" s="6" t="s">
        <v>24</v>
      </c>
      <c r="M282" s="5" t="s">
        <v>25</v>
      </c>
      <c r="N282" s="3" t="s">
        <v>26</v>
      </c>
      <c r="O282" s="5">
        <v>2</v>
      </c>
      <c r="P282" s="3" t="s">
        <v>23</v>
      </c>
      <c r="Q282" s="5"/>
    </row>
    <row r="283" spans="1:17" ht="31">
      <c r="A283" s="5">
        <v>278</v>
      </c>
      <c r="B283" s="6" t="s">
        <v>16</v>
      </c>
      <c r="C283" s="5" t="str">
        <f>HYPERLINK("http://data.overheid.nl/data/dataset/separatiezones-binnen-het-verkeersscheidingsstelsel-tot-1-8-2013","Separatiezones binnen het verkeersscheidingsstelsel tot 1-8-2013")</f>
        <v>Separatiezones binnen het verkeersscheidingsstelsel tot 1-8-2013</v>
      </c>
      <c r="D283" s="6" t="s">
        <v>17</v>
      </c>
      <c r="E283" s="5" t="s">
        <v>18</v>
      </c>
      <c r="F283" s="6" t="s">
        <v>813</v>
      </c>
      <c r="G283" s="5" t="s">
        <v>218</v>
      </c>
      <c r="H283" s="6" t="s">
        <v>20</v>
      </c>
      <c r="I283" s="5" t="s">
        <v>21</v>
      </c>
      <c r="J283" s="4" t="s">
        <v>22</v>
      </c>
      <c r="K283" s="2" t="s">
        <v>23</v>
      </c>
      <c r="L283" s="6" t="s">
        <v>24</v>
      </c>
      <c r="M283" s="5" t="s">
        <v>25</v>
      </c>
      <c r="N283" s="3" t="s">
        <v>26</v>
      </c>
      <c r="O283" s="5">
        <v>2</v>
      </c>
      <c r="P283" s="3" t="s">
        <v>23</v>
      </c>
      <c r="Q283" s="5"/>
    </row>
    <row r="284" spans="1:17" ht="31">
      <c r="A284" s="5">
        <v>279</v>
      </c>
      <c r="B284" s="6" t="s">
        <v>16</v>
      </c>
      <c r="C284" s="5" t="str">
        <f>HYPERLINK("http://data.overheid.nl/data/dataset/kilometrering-op-de-as-van-de-geulen-tot-1-8-2013","Kilometrering op de as van de geulen tot 1-8-2013")</f>
        <v>Kilometrering op de as van de geulen tot 1-8-2013</v>
      </c>
      <c r="D284" s="6" t="s">
        <v>17</v>
      </c>
      <c r="E284" s="5" t="s">
        <v>18</v>
      </c>
      <c r="F284" s="6" t="s">
        <v>813</v>
      </c>
      <c r="G284" s="5" t="s">
        <v>219</v>
      </c>
      <c r="H284" s="6" t="s">
        <v>20</v>
      </c>
      <c r="I284" s="5" t="s">
        <v>21</v>
      </c>
      <c r="J284" s="4" t="s">
        <v>22</v>
      </c>
      <c r="K284" s="2" t="s">
        <v>23</v>
      </c>
      <c r="L284" s="6" t="s">
        <v>24</v>
      </c>
      <c r="M284" s="5" t="s">
        <v>25</v>
      </c>
      <c r="N284" s="3" t="s">
        <v>26</v>
      </c>
      <c r="O284" s="5">
        <v>2</v>
      </c>
      <c r="P284" s="3" t="s">
        <v>23</v>
      </c>
      <c r="Q284" s="5"/>
    </row>
    <row r="285" spans="1:17" ht="62">
      <c r="A285" s="5">
        <v>280</v>
      </c>
      <c r="B285" s="6" t="s">
        <v>16</v>
      </c>
      <c r="C285" s="5" t="str">
        <f>HYPERLINK("http://data.overheid.nl/data/dataset/clearways-scheepvaart-tot-1-8-2013","Clearways scheepvaart tot 1-8-2013")</f>
        <v>Clearways scheepvaart tot 1-8-2013</v>
      </c>
      <c r="D285" s="6" t="s">
        <v>17</v>
      </c>
      <c r="E285" s="5" t="s">
        <v>18</v>
      </c>
      <c r="F285" s="6" t="s">
        <v>813</v>
      </c>
      <c r="G285" s="5" t="s">
        <v>220</v>
      </c>
      <c r="H285" s="6" t="s">
        <v>20</v>
      </c>
      <c r="I285" s="5" t="s">
        <v>21</v>
      </c>
      <c r="J285" s="4" t="s">
        <v>22</v>
      </c>
      <c r="K285" s="2" t="s">
        <v>23</v>
      </c>
      <c r="L285" s="6" t="s">
        <v>24</v>
      </c>
      <c r="M285" s="5" t="s">
        <v>25</v>
      </c>
      <c r="N285" s="3" t="s">
        <v>26</v>
      </c>
      <c r="O285" s="5">
        <v>2</v>
      </c>
      <c r="P285" s="3" t="s">
        <v>23</v>
      </c>
      <c r="Q285" s="5"/>
    </row>
    <row r="286" spans="1:17" ht="31">
      <c r="A286" s="5">
        <v>281</v>
      </c>
      <c r="B286" s="6" t="s">
        <v>16</v>
      </c>
      <c r="C286" s="5" t="str">
        <f>HYPERLINK("http://data.overheid.nl/data/dataset/ankergebieden-tot-1-8-2013","Ankergebieden tot 1-8-2013")</f>
        <v>Ankergebieden tot 1-8-2013</v>
      </c>
      <c r="D286" s="6" t="s">
        <v>17</v>
      </c>
      <c r="E286" s="5" t="s">
        <v>18</v>
      </c>
      <c r="F286" s="6" t="s">
        <v>813</v>
      </c>
      <c r="G286" s="5" t="s">
        <v>221</v>
      </c>
      <c r="H286" s="6" t="s">
        <v>20</v>
      </c>
      <c r="I286" s="5" t="s">
        <v>21</v>
      </c>
      <c r="J286" s="4" t="s">
        <v>22</v>
      </c>
      <c r="K286" s="2" t="s">
        <v>23</v>
      </c>
      <c r="L286" s="6" t="s">
        <v>24</v>
      </c>
      <c r="M286" s="5" t="s">
        <v>25</v>
      </c>
      <c r="N286" s="3" t="s">
        <v>26</v>
      </c>
      <c r="O286" s="5">
        <v>2</v>
      </c>
      <c r="P286" s="3" t="s">
        <v>23</v>
      </c>
      <c r="Q286" s="5"/>
    </row>
    <row r="287" spans="1:17" ht="46.5">
      <c r="A287" s="5">
        <v>282</v>
      </c>
      <c r="B287" s="6" t="s">
        <v>16</v>
      </c>
      <c r="C287" s="5" t="str">
        <f>HYPERLINK("http://data.overheid.nl/data/dataset/orthofotomozaiek-slufter-voorne-falsecolor-2012","Orthofotomozaiek Slufter Voorne Falsecolor 2012")</f>
        <v>Orthofotomozaiek Slufter Voorne Falsecolor 2012</v>
      </c>
      <c r="D287" s="6" t="s">
        <v>17</v>
      </c>
      <c r="E287" s="5" t="s">
        <v>18</v>
      </c>
      <c r="F287" s="6" t="s">
        <v>813</v>
      </c>
      <c r="G287" s="5" t="s">
        <v>222</v>
      </c>
      <c r="H287" s="6" t="s">
        <v>20</v>
      </c>
      <c r="I287" s="5" t="s">
        <v>21</v>
      </c>
      <c r="J287" s="4" t="s">
        <v>22</v>
      </c>
      <c r="K287" s="2" t="s">
        <v>23</v>
      </c>
      <c r="L287" s="6" t="s">
        <v>24</v>
      </c>
      <c r="M287" s="5" t="s">
        <v>25</v>
      </c>
      <c r="N287" s="3" t="s">
        <v>26</v>
      </c>
      <c r="O287" s="5">
        <v>2</v>
      </c>
      <c r="P287" s="3" t="s">
        <v>23</v>
      </c>
      <c r="Q287" s="5"/>
    </row>
    <row r="288" spans="1:17" ht="46.5">
      <c r="A288" s="5">
        <v>283</v>
      </c>
      <c r="B288" s="6" t="s">
        <v>16</v>
      </c>
      <c r="C288" s="5" t="str">
        <f>HYPERLINK("http://data.overheid.nl/data/dataset/orthofotomozaiek-rijn-maasmonding-falsecolor-2012","Orthofotomozaiek_Rijn-Maasmonding_Falsecolor_2012")</f>
        <v>Orthofotomozaiek_Rijn-Maasmonding_Falsecolor_2012</v>
      </c>
      <c r="D288" s="6" t="s">
        <v>17</v>
      </c>
      <c r="E288" s="5" t="s">
        <v>18</v>
      </c>
      <c r="F288" s="6" t="s">
        <v>813</v>
      </c>
      <c r="G288" s="5" t="s">
        <v>223</v>
      </c>
      <c r="H288" s="6" t="s">
        <v>20</v>
      </c>
      <c r="I288" s="5" t="s">
        <v>21</v>
      </c>
      <c r="J288" s="4" t="s">
        <v>22</v>
      </c>
      <c r="K288" s="2" t="s">
        <v>23</v>
      </c>
      <c r="L288" s="6" t="s">
        <v>24</v>
      </c>
      <c r="M288" s="5" t="s">
        <v>25</v>
      </c>
      <c r="N288" s="3" t="s">
        <v>26</v>
      </c>
      <c r="O288" s="5">
        <v>2</v>
      </c>
      <c r="P288" s="3" t="s">
        <v>23</v>
      </c>
      <c r="Q288" s="5"/>
    </row>
    <row r="289" spans="1:17" ht="46.5">
      <c r="A289" s="5">
        <v>284</v>
      </c>
      <c r="B289" s="6" t="s">
        <v>16</v>
      </c>
      <c r="C289" s="5" t="str">
        <f>HYPERLINK("http://data.overheid.nl/data/dataset/orthofotomozaiek-kwade-hoek-falsecolor-2012","Orthofotomozaiek Kwade Hoek Falsecolor 2012")</f>
        <v>Orthofotomozaiek Kwade Hoek Falsecolor 2012</v>
      </c>
      <c r="D289" s="6" t="s">
        <v>17</v>
      </c>
      <c r="E289" s="5" t="s">
        <v>18</v>
      </c>
      <c r="F289" s="6" t="s">
        <v>813</v>
      </c>
      <c r="G289" s="5" t="s">
        <v>224</v>
      </c>
      <c r="H289" s="6" t="s">
        <v>20</v>
      </c>
      <c r="I289" s="5" t="s">
        <v>21</v>
      </c>
      <c r="J289" s="4" t="s">
        <v>22</v>
      </c>
      <c r="K289" s="2" t="s">
        <v>23</v>
      </c>
      <c r="L289" s="6" t="s">
        <v>24</v>
      </c>
      <c r="M289" s="5" t="s">
        <v>25</v>
      </c>
      <c r="N289" s="3" t="s">
        <v>26</v>
      </c>
      <c r="O289" s="5">
        <v>2</v>
      </c>
      <c r="P289" s="3" t="s">
        <v>23</v>
      </c>
      <c r="Q289" s="5"/>
    </row>
    <row r="290" spans="1:17" ht="62">
      <c r="A290" s="5">
        <v>285</v>
      </c>
      <c r="B290" s="6" t="s">
        <v>16</v>
      </c>
      <c r="C290" s="5" t="str">
        <f>HYPERLINK("http://data.overheid.nl/data/dataset/meetpunten-landelijk-meetnet-water","Meetpunten Landelijk Meetnet Water")</f>
        <v>Meetpunten Landelijk Meetnet Water</v>
      </c>
      <c r="D290" s="6" t="s">
        <v>17</v>
      </c>
      <c r="E290" s="5" t="s">
        <v>18</v>
      </c>
      <c r="F290" s="6" t="s">
        <v>813</v>
      </c>
      <c r="G290" s="5" t="s">
        <v>225</v>
      </c>
      <c r="H290" s="6" t="s">
        <v>28</v>
      </c>
      <c r="I290" s="5" t="s">
        <v>21</v>
      </c>
      <c r="J290" s="4" t="s">
        <v>22</v>
      </c>
      <c r="K290" s="2" t="s">
        <v>23</v>
      </c>
      <c r="L290" s="6" t="s">
        <v>24</v>
      </c>
      <c r="M290" s="5" t="s">
        <v>25</v>
      </c>
      <c r="N290" s="3" t="s">
        <v>26</v>
      </c>
      <c r="O290" s="5">
        <v>2</v>
      </c>
      <c r="P290" s="3" t="s">
        <v>23</v>
      </c>
      <c r="Q290" s="5"/>
    </row>
    <row r="291" spans="1:17" ht="46.5">
      <c r="A291" s="5">
        <v>286</v>
      </c>
      <c r="B291" s="6" t="s">
        <v>16</v>
      </c>
      <c r="C291" s="5" t="str">
        <f>HYPERLINK("http://data.overheid.nl/data/dataset/westerschelde-2008-orthofotomozaiek-falsecolor-ecw","Westerschelde_2008_Orthofotomozaiek_Falsecolor_ECW")</f>
        <v>Westerschelde_2008_Orthofotomozaiek_Falsecolor_ECW</v>
      </c>
      <c r="D291" s="6" t="s">
        <v>17</v>
      </c>
      <c r="E291" s="5" t="s">
        <v>18</v>
      </c>
      <c r="F291" s="6" t="s">
        <v>813</v>
      </c>
      <c r="G291" s="5" t="s">
        <v>226</v>
      </c>
      <c r="H291" s="6" t="s">
        <v>20</v>
      </c>
      <c r="I291" s="5" t="s">
        <v>21</v>
      </c>
      <c r="J291" s="4" t="s">
        <v>22</v>
      </c>
      <c r="K291" s="2" t="s">
        <v>23</v>
      </c>
      <c r="L291" s="6" t="s">
        <v>24</v>
      </c>
      <c r="M291" s="5" t="s">
        <v>25</v>
      </c>
      <c r="N291" s="3" t="s">
        <v>26</v>
      </c>
      <c r="O291" s="5">
        <v>2</v>
      </c>
      <c r="P291" s="3" t="s">
        <v>23</v>
      </c>
      <c r="Q291" s="5"/>
    </row>
    <row r="292" spans="1:17" ht="31">
      <c r="A292" s="5">
        <v>287</v>
      </c>
      <c r="B292" s="6" t="s">
        <v>16</v>
      </c>
      <c r="C292" s="5" t="str">
        <f>HYPERLINK("http://data.overheid.nl/data/dataset/ameland-2008-orthofotomozaiek-falsecolor-ecw","Ameland_2008_Orthofotomozaiek_Falsecolor_ECW")</f>
        <v>Ameland_2008_Orthofotomozaiek_Falsecolor_ECW</v>
      </c>
      <c r="D292" s="6" t="s">
        <v>17</v>
      </c>
      <c r="E292" s="5" t="s">
        <v>18</v>
      </c>
      <c r="F292" s="6" t="s">
        <v>813</v>
      </c>
      <c r="G292" s="5" t="s">
        <v>227</v>
      </c>
      <c r="H292" s="6" t="s">
        <v>20</v>
      </c>
      <c r="I292" s="5" t="s">
        <v>21</v>
      </c>
      <c r="J292" s="4" t="s">
        <v>22</v>
      </c>
      <c r="K292" s="2" t="s">
        <v>23</v>
      </c>
      <c r="L292" s="6" t="s">
        <v>24</v>
      </c>
      <c r="M292" s="5" t="s">
        <v>25</v>
      </c>
      <c r="N292" s="3" t="s">
        <v>26</v>
      </c>
      <c r="O292" s="5">
        <v>2</v>
      </c>
      <c r="P292" s="3" t="s">
        <v>23</v>
      </c>
      <c r="Q292" s="5"/>
    </row>
    <row r="293" spans="1:17" ht="31">
      <c r="A293" s="5">
        <v>288</v>
      </c>
      <c r="B293" s="6" t="s">
        <v>16</v>
      </c>
      <c r="C293" s="5" t="str">
        <f>HYPERLINK("http://data.overheid.nl/data/dataset/locaties-helicopterfotos-02-2009","Locaties helicopterfotos 02-2009")</f>
        <v>Locaties helicopterfotos 02-2009</v>
      </c>
      <c r="D293" s="6" t="s">
        <v>17</v>
      </c>
      <c r="E293" s="5" t="s">
        <v>18</v>
      </c>
      <c r="F293" s="6" t="s">
        <v>813</v>
      </c>
      <c r="G293" s="5" t="s">
        <v>228</v>
      </c>
      <c r="H293" s="6" t="s">
        <v>20</v>
      </c>
      <c r="I293" s="5" t="s">
        <v>21</v>
      </c>
      <c r="J293" s="4" t="s">
        <v>22</v>
      </c>
      <c r="K293" s="2" t="s">
        <v>23</v>
      </c>
      <c r="L293" s="6" t="s">
        <v>24</v>
      </c>
      <c r="M293" s="5" t="s">
        <v>25</v>
      </c>
      <c r="N293" s="3" t="s">
        <v>26</v>
      </c>
      <c r="O293" s="5">
        <v>2</v>
      </c>
      <c r="P293" s="3" t="s">
        <v>23</v>
      </c>
      <c r="Q293" s="5"/>
    </row>
    <row r="294" spans="1:17" ht="46.5">
      <c r="A294" s="5">
        <v>289</v>
      </c>
      <c r="B294" s="6" t="s">
        <v>16</v>
      </c>
      <c r="C294" s="5" t="str">
        <f>HYPERLINK("http://data.overheid.nl/data/dataset/napinfo","NAPinfo")</f>
        <v>NAPinfo</v>
      </c>
      <c r="D294" s="6" t="s">
        <v>17</v>
      </c>
      <c r="E294" s="5" t="s">
        <v>18</v>
      </c>
      <c r="F294" s="6" t="s">
        <v>813</v>
      </c>
      <c r="G294" s="5" t="s">
        <v>229</v>
      </c>
      <c r="H294" s="6" t="s">
        <v>20</v>
      </c>
      <c r="I294" s="5" t="s">
        <v>21</v>
      </c>
      <c r="J294" s="4" t="s">
        <v>22</v>
      </c>
      <c r="K294" s="2" t="s">
        <v>23</v>
      </c>
      <c r="L294" s="6" t="s">
        <v>24</v>
      </c>
      <c r="M294" s="5" t="s">
        <v>25</v>
      </c>
      <c r="N294" s="3" t="s">
        <v>26</v>
      </c>
      <c r="O294" s="5">
        <v>4</v>
      </c>
      <c r="P294" s="3" t="s">
        <v>23</v>
      </c>
      <c r="Q294" s="5"/>
    </row>
    <row r="295" spans="1:17" ht="93">
      <c r="A295" s="5">
        <v>290</v>
      </c>
      <c r="B295" s="6" t="s">
        <v>16</v>
      </c>
      <c r="C295" s="5" t="str">
        <f>HYPERLINK("http://data.overheid.nl/data/dataset/verkeersinformatie-locatie-database","VerkeersInformatie Locatie Database")</f>
        <v>VerkeersInformatie Locatie Database</v>
      </c>
      <c r="D295" s="6" t="s">
        <v>17</v>
      </c>
      <c r="E295" s="5" t="s">
        <v>18</v>
      </c>
      <c r="F295" s="6" t="s">
        <v>813</v>
      </c>
      <c r="G295" s="5" t="s">
        <v>230</v>
      </c>
      <c r="H295" s="6" t="s">
        <v>20</v>
      </c>
      <c r="I295" s="5" t="s">
        <v>21</v>
      </c>
      <c r="J295" s="4" t="s">
        <v>22</v>
      </c>
      <c r="K295" s="2" t="s">
        <v>23</v>
      </c>
      <c r="L295" s="6" t="s">
        <v>24</v>
      </c>
      <c r="M295" s="5" t="s">
        <v>25</v>
      </c>
      <c r="N295" s="3" t="s">
        <v>26</v>
      </c>
      <c r="O295" s="5">
        <v>2</v>
      </c>
      <c r="P295" s="3" t="s">
        <v>23</v>
      </c>
      <c r="Q295" s="5"/>
    </row>
    <row r="296" spans="1:17" ht="31">
      <c r="A296" s="5">
        <v>291</v>
      </c>
      <c r="B296" s="6" t="s">
        <v>16</v>
      </c>
      <c r="C296" s="5" t="str">
        <f>HYPERLINK("http://data.overheid.nl/data/dataset/hydrografisch-opname-locaties-op-de-noordzee","Hydrografisch opname locaties op de Noordzee")</f>
        <v>Hydrografisch opname locaties op de Noordzee</v>
      </c>
      <c r="D296" s="6" t="s">
        <v>17</v>
      </c>
      <c r="E296" s="5" t="s">
        <v>18</v>
      </c>
      <c r="F296" s="6" t="s">
        <v>813</v>
      </c>
      <c r="G296" s="5" t="s">
        <v>231</v>
      </c>
      <c r="H296" s="6" t="s">
        <v>20</v>
      </c>
      <c r="I296" s="5" t="s">
        <v>21</v>
      </c>
      <c r="J296" s="4" t="s">
        <v>22</v>
      </c>
      <c r="K296" s="2" t="s">
        <v>23</v>
      </c>
      <c r="L296" s="6" t="s">
        <v>24</v>
      </c>
      <c r="M296" s="5" t="s">
        <v>25</v>
      </c>
      <c r="N296" s="3" t="s">
        <v>26</v>
      </c>
      <c r="O296" s="5">
        <v>2</v>
      </c>
      <c r="P296" s="3" t="s">
        <v>23</v>
      </c>
      <c r="Q296" s="5"/>
    </row>
    <row r="297" spans="1:17" ht="387.5">
      <c r="A297" s="5">
        <v>292</v>
      </c>
      <c r="B297" s="6" t="s">
        <v>16</v>
      </c>
      <c r="C297" s="5" t="str">
        <f>HYPERLINK("http://data.overheid.nl/data/dataset/waterbeheergrens-rd","Waterbeheergrens RD")</f>
        <v>Waterbeheergrens RD</v>
      </c>
      <c r="D297" s="6" t="s">
        <v>17</v>
      </c>
      <c r="E297" s="5" t="s">
        <v>18</v>
      </c>
      <c r="F297" s="6" t="s">
        <v>813</v>
      </c>
      <c r="G297" s="5" t="s">
        <v>232</v>
      </c>
      <c r="H297" s="6" t="s">
        <v>20</v>
      </c>
      <c r="I297" s="5" t="s">
        <v>21</v>
      </c>
      <c r="J297" s="4" t="s">
        <v>22</v>
      </c>
      <c r="K297" s="2" t="s">
        <v>23</v>
      </c>
      <c r="L297" s="6" t="s">
        <v>24</v>
      </c>
      <c r="M297" s="5" t="s">
        <v>25</v>
      </c>
      <c r="N297" s="3" t="s">
        <v>26</v>
      </c>
      <c r="O297" s="5">
        <v>2</v>
      </c>
      <c r="P297" s="3" t="s">
        <v>23</v>
      </c>
      <c r="Q297" s="5"/>
    </row>
    <row r="298" spans="1:17" ht="387.5">
      <c r="A298" s="5">
        <v>293</v>
      </c>
      <c r="B298" s="6" t="s">
        <v>16</v>
      </c>
      <c r="C298" s="5" t="str">
        <f>HYPERLINK("http://data.overheid.nl/data/dataset/waterbeheergrens","Waterbeheergrens")</f>
        <v>Waterbeheergrens</v>
      </c>
      <c r="D298" s="6" t="s">
        <v>17</v>
      </c>
      <c r="E298" s="5" t="s">
        <v>18</v>
      </c>
      <c r="F298" s="6" t="s">
        <v>813</v>
      </c>
      <c r="G298" s="5" t="s">
        <v>232</v>
      </c>
      <c r="H298" s="6" t="s">
        <v>20</v>
      </c>
      <c r="I298" s="5" t="s">
        <v>21</v>
      </c>
      <c r="J298" s="4" t="s">
        <v>22</v>
      </c>
      <c r="K298" s="2" t="s">
        <v>23</v>
      </c>
      <c r="L298" s="6" t="s">
        <v>24</v>
      </c>
      <c r="M298" s="5" t="s">
        <v>25</v>
      </c>
      <c r="N298" s="3" t="s">
        <v>26</v>
      </c>
      <c r="O298" s="5">
        <v>2</v>
      </c>
      <c r="P298" s="3" t="s">
        <v>23</v>
      </c>
      <c r="Q298" s="5"/>
    </row>
    <row r="299" spans="1:17" ht="31">
      <c r="A299" s="5">
        <v>294</v>
      </c>
      <c r="B299" s="6" t="s">
        <v>16</v>
      </c>
      <c r="C299" s="5" t="str">
        <f>HYPERLINK("http://data.overheid.nl/data/dataset/vaargeulen-rijkswaterstaat-west-nederland-zuid","vaargeulen Rijkswaterstaat West-Nederland Zuid")</f>
        <v>vaargeulen Rijkswaterstaat West-Nederland Zuid</v>
      </c>
      <c r="D299" s="6" t="s">
        <v>17</v>
      </c>
      <c r="E299" s="5" t="s">
        <v>18</v>
      </c>
      <c r="F299" s="6" t="s">
        <v>813</v>
      </c>
      <c r="G299" s="5" t="s">
        <v>233</v>
      </c>
      <c r="H299" s="6" t="s">
        <v>20</v>
      </c>
      <c r="I299" s="5" t="s">
        <v>21</v>
      </c>
      <c r="J299" s="4" t="s">
        <v>22</v>
      </c>
      <c r="K299" s="2" t="s">
        <v>23</v>
      </c>
      <c r="L299" s="6" t="s">
        <v>24</v>
      </c>
      <c r="M299" s="5" t="s">
        <v>25</v>
      </c>
      <c r="N299" s="3" t="s">
        <v>26</v>
      </c>
      <c r="O299" s="5">
        <v>2</v>
      </c>
      <c r="P299" s="3" t="s">
        <v>23</v>
      </c>
      <c r="Q299" s="5"/>
    </row>
    <row r="300" spans="1:17" ht="124">
      <c r="A300" s="5">
        <v>295</v>
      </c>
      <c r="B300" s="6" t="s">
        <v>16</v>
      </c>
      <c r="C300" s="5" t="str">
        <f>HYPERLINK("http://data.overheid.nl/data/dataset/hoogtebestand-lek-nederrijn-2011","Hoogtebestand Lek - Nederrijn 2011")</f>
        <v>Hoogtebestand Lek - Nederrijn 2011</v>
      </c>
      <c r="D300" s="6" t="s">
        <v>17</v>
      </c>
      <c r="E300" s="5" t="s">
        <v>18</v>
      </c>
      <c r="F300" s="6" t="s">
        <v>813</v>
      </c>
      <c r="G300" s="5" t="s">
        <v>234</v>
      </c>
      <c r="H300" s="6" t="s">
        <v>20</v>
      </c>
      <c r="I300" s="5" t="s">
        <v>21</v>
      </c>
      <c r="J300" s="4" t="s">
        <v>22</v>
      </c>
      <c r="K300" s="2" t="s">
        <v>23</v>
      </c>
      <c r="L300" s="6" t="s">
        <v>24</v>
      </c>
      <c r="M300" s="5" t="s">
        <v>25</v>
      </c>
      <c r="N300" s="3" t="s">
        <v>26</v>
      </c>
      <c r="O300" s="5">
        <v>2</v>
      </c>
      <c r="P300" s="3" t="s">
        <v>23</v>
      </c>
      <c r="Q300" s="5"/>
    </row>
    <row r="301" spans="1:17" ht="170.5">
      <c r="A301" s="5">
        <v>296</v>
      </c>
      <c r="B301" s="6" t="s">
        <v>16</v>
      </c>
      <c r="C301" s="5" t="str">
        <f>HYPERLINK("http://data.overheid.nl/data/dataset/asbest-gebouwen-ziekenhuizen","Asbest Gebouwen Ziekenhuizen")</f>
        <v>Asbest Gebouwen Ziekenhuizen</v>
      </c>
      <c r="D301" s="6" t="s">
        <v>17</v>
      </c>
      <c r="E301" s="5" t="s">
        <v>159</v>
      </c>
      <c r="F301" s="6" t="s">
        <v>813</v>
      </c>
      <c r="G301" s="5" t="s">
        <v>235</v>
      </c>
      <c r="H301" s="6" t="s">
        <v>28</v>
      </c>
      <c r="I301" s="5" t="s">
        <v>21</v>
      </c>
      <c r="J301" s="4" t="s">
        <v>22</v>
      </c>
      <c r="K301" s="2" t="s">
        <v>23</v>
      </c>
      <c r="L301" s="6" t="s">
        <v>24</v>
      </c>
      <c r="M301" s="5" t="s">
        <v>25</v>
      </c>
      <c r="N301" s="3" t="s">
        <v>26</v>
      </c>
      <c r="O301" s="5">
        <v>1</v>
      </c>
      <c r="P301" s="3" t="s">
        <v>23</v>
      </c>
      <c r="Q301" s="5"/>
    </row>
    <row r="302" spans="1:17" ht="31">
      <c r="A302" s="5">
        <v>297</v>
      </c>
      <c r="B302" s="6" t="s">
        <v>16</v>
      </c>
      <c r="C302" s="5" t="str">
        <f>HYPERLINK("http://data.overheid.nl/data/dataset/locaties-helicopterfotos-06-2008","Locaties helicopterfotos 06-2008")</f>
        <v>Locaties helicopterfotos 06-2008</v>
      </c>
      <c r="D302" s="6" t="s">
        <v>17</v>
      </c>
      <c r="E302" s="5" t="s">
        <v>18</v>
      </c>
      <c r="F302" s="6" t="s">
        <v>813</v>
      </c>
      <c r="G302" s="5" t="s">
        <v>236</v>
      </c>
      <c r="H302" s="6" t="s">
        <v>20</v>
      </c>
      <c r="I302" s="5" t="s">
        <v>21</v>
      </c>
      <c r="J302" s="4" t="s">
        <v>22</v>
      </c>
      <c r="K302" s="2" t="s">
        <v>23</v>
      </c>
      <c r="L302" s="6" t="s">
        <v>24</v>
      </c>
      <c r="M302" s="5" t="s">
        <v>25</v>
      </c>
      <c r="N302" s="3" t="s">
        <v>26</v>
      </c>
      <c r="O302" s="5">
        <v>2</v>
      </c>
      <c r="P302" s="3" t="s">
        <v>23</v>
      </c>
      <c r="Q302" s="5"/>
    </row>
    <row r="303" spans="1:17" ht="46.5">
      <c r="A303" s="5">
        <v>298</v>
      </c>
      <c r="B303" s="6" t="s">
        <v>16</v>
      </c>
      <c r="C303" s="5" t="str">
        <f>HYPERLINK("http://data.overheid.nl/data/dataset/locaties-helicopterfotos-02-2008","Locaties helicopterfotos 02-2008")</f>
        <v>Locaties helicopterfotos 02-2008</v>
      </c>
      <c r="D303" s="6" t="s">
        <v>17</v>
      </c>
      <c r="E303" s="5" t="s">
        <v>18</v>
      </c>
      <c r="F303" s="6" t="s">
        <v>813</v>
      </c>
      <c r="G303" s="5" t="s">
        <v>237</v>
      </c>
      <c r="H303" s="6" t="s">
        <v>20</v>
      </c>
      <c r="I303" s="5" t="s">
        <v>21</v>
      </c>
      <c r="J303" s="4" t="s">
        <v>22</v>
      </c>
      <c r="K303" s="2" t="s">
        <v>23</v>
      </c>
      <c r="L303" s="6" t="s">
        <v>24</v>
      </c>
      <c r="M303" s="5" t="s">
        <v>25</v>
      </c>
      <c r="N303" s="3" t="s">
        <v>26</v>
      </c>
      <c r="O303" s="5">
        <v>2</v>
      </c>
      <c r="P303" s="3" t="s">
        <v>23</v>
      </c>
      <c r="Q303" s="5"/>
    </row>
    <row r="304" spans="1:17" ht="31">
      <c r="A304" s="5">
        <v>299</v>
      </c>
      <c r="B304" s="6" t="s">
        <v>16</v>
      </c>
      <c r="C304" s="5" t="str">
        <f>HYPERLINK("http://data.overheid.nl/data/dataset/waterberichtgeving-astronomisch-getij-2016","Waterberichtgeving - Astronomisch getij 2016")</f>
        <v>Waterberichtgeving - Astronomisch getij 2016</v>
      </c>
      <c r="D304" s="6" t="s">
        <v>17</v>
      </c>
      <c r="E304" s="5" t="s">
        <v>18</v>
      </c>
      <c r="F304" s="6" t="s">
        <v>813</v>
      </c>
      <c r="G304" s="5" t="s">
        <v>238</v>
      </c>
      <c r="H304" s="6" t="s">
        <v>20</v>
      </c>
      <c r="I304" s="5" t="s">
        <v>21</v>
      </c>
      <c r="J304" s="4" t="s">
        <v>22</v>
      </c>
      <c r="K304" s="2" t="s">
        <v>23</v>
      </c>
      <c r="L304" s="6" t="s">
        <v>24</v>
      </c>
      <c r="M304" s="5" t="s">
        <v>25</v>
      </c>
      <c r="N304" s="3" t="s">
        <v>26</v>
      </c>
      <c r="O304" s="5">
        <v>1</v>
      </c>
      <c r="P304" s="3" t="s">
        <v>23</v>
      </c>
      <c r="Q304" s="5"/>
    </row>
    <row r="305" spans="1:17" ht="31">
      <c r="A305" s="5">
        <v>300</v>
      </c>
      <c r="B305" s="6" t="s">
        <v>16</v>
      </c>
      <c r="C305" s="5" t="str">
        <f>HYPERLINK("http://data.overheid.nl/data/dataset/waterberichtgeving-verwachtingen-water-waddenzee","Waterberichtgeving - Verwachtingen Water Waddenzee")</f>
        <v>Waterberichtgeving - Verwachtingen Water Waddenzee</v>
      </c>
      <c r="D305" s="6" t="s">
        <v>17</v>
      </c>
      <c r="E305" s="5" t="s">
        <v>18</v>
      </c>
      <c r="F305" s="6" t="s">
        <v>813</v>
      </c>
      <c r="G305" s="5" t="s">
        <v>239</v>
      </c>
      <c r="H305" s="6" t="s">
        <v>20</v>
      </c>
      <c r="I305" s="5" t="s">
        <v>21</v>
      </c>
      <c r="J305" s="4" t="s">
        <v>22</v>
      </c>
      <c r="K305" s="2" t="s">
        <v>23</v>
      </c>
      <c r="L305" s="6" t="s">
        <v>24</v>
      </c>
      <c r="M305" s="5" t="s">
        <v>25</v>
      </c>
      <c r="N305" s="3" t="s">
        <v>26</v>
      </c>
      <c r="O305" s="5">
        <v>1</v>
      </c>
      <c r="P305" s="3" t="s">
        <v>23</v>
      </c>
      <c r="Q305" s="5"/>
    </row>
    <row r="306" spans="1:17" ht="31">
      <c r="A306" s="5">
        <v>301</v>
      </c>
      <c r="B306" s="6" t="s">
        <v>16</v>
      </c>
      <c r="C306" s="5" t="str">
        <f>HYPERLINK("http://data.overheid.nl/data/dataset/waterberichtgeving-verwachtingen-water-hollandse-kust","Waterberichtgeving - Verwachtingen Water Hollandse Kust")</f>
        <v>Waterberichtgeving - Verwachtingen Water Hollandse Kust</v>
      </c>
      <c r="D306" s="6" t="s">
        <v>17</v>
      </c>
      <c r="E306" s="5" t="s">
        <v>18</v>
      </c>
      <c r="F306" s="6" t="s">
        <v>813</v>
      </c>
      <c r="G306" s="5" t="s">
        <v>240</v>
      </c>
      <c r="H306" s="6" t="s">
        <v>20</v>
      </c>
      <c r="I306" s="5" t="s">
        <v>21</v>
      </c>
      <c r="J306" s="4" t="s">
        <v>22</v>
      </c>
      <c r="K306" s="2" t="s">
        <v>23</v>
      </c>
      <c r="L306" s="6" t="s">
        <v>24</v>
      </c>
      <c r="M306" s="5" t="s">
        <v>25</v>
      </c>
      <c r="N306" s="3" t="s">
        <v>26</v>
      </c>
      <c r="O306" s="5">
        <v>1</v>
      </c>
      <c r="P306" s="3" t="s">
        <v>23</v>
      </c>
      <c r="Q306" s="5"/>
    </row>
    <row r="307" spans="1:17" ht="46.5">
      <c r="A307" s="5">
        <v>302</v>
      </c>
      <c r="B307" s="6" t="s">
        <v>16</v>
      </c>
      <c r="C307" s="5" t="str">
        <f>HYPERLINK("http://data.overheid.nl/data/dataset/waterberichtgeving-ophalen-opgetreden-data","Waterberichtgeving - Ophalen opgetreden data")</f>
        <v>Waterberichtgeving - Ophalen opgetreden data</v>
      </c>
      <c r="D307" s="6" t="s">
        <v>17</v>
      </c>
      <c r="E307" s="5" t="s">
        <v>18</v>
      </c>
      <c r="F307" s="6" t="s">
        <v>813</v>
      </c>
      <c r="G307" s="5" t="s">
        <v>241</v>
      </c>
      <c r="H307" s="6" t="s">
        <v>20</v>
      </c>
      <c r="I307" s="5" t="s">
        <v>21</v>
      </c>
      <c r="J307" s="4" t="s">
        <v>22</v>
      </c>
      <c r="K307" s="2" t="s">
        <v>23</v>
      </c>
      <c r="L307" s="6" t="s">
        <v>24</v>
      </c>
      <c r="M307" s="5" t="s">
        <v>25</v>
      </c>
      <c r="N307" s="3" t="s">
        <v>26</v>
      </c>
      <c r="O307" s="5">
        <v>1</v>
      </c>
      <c r="P307" s="3" t="s">
        <v>23</v>
      </c>
      <c r="Q307" s="5"/>
    </row>
    <row r="308" spans="1:17" ht="31">
      <c r="A308" s="5">
        <v>303</v>
      </c>
      <c r="B308" s="6" t="s">
        <v>16</v>
      </c>
      <c r="C308" s="5" t="str">
        <f>HYPERLINK("http://data.overheid.nl/data/dataset/waterberichtgeving-astronomisch-getij-2015","Waterberichtgeving - Astronomisch getij 2015")</f>
        <v>Waterberichtgeving - Astronomisch getij 2015</v>
      </c>
      <c r="D308" s="6" t="s">
        <v>17</v>
      </c>
      <c r="E308" s="5" t="s">
        <v>18</v>
      </c>
      <c r="F308" s="6" t="s">
        <v>813</v>
      </c>
      <c r="G308" s="5" t="s">
        <v>238</v>
      </c>
      <c r="H308" s="6" t="s">
        <v>20</v>
      </c>
      <c r="I308" s="5" t="s">
        <v>21</v>
      </c>
      <c r="J308" s="4" t="s">
        <v>22</v>
      </c>
      <c r="K308" s="2" t="s">
        <v>23</v>
      </c>
      <c r="L308" s="6" t="s">
        <v>24</v>
      </c>
      <c r="M308" s="5" t="s">
        <v>25</v>
      </c>
      <c r="N308" s="3" t="s">
        <v>26</v>
      </c>
      <c r="O308" s="5">
        <v>1</v>
      </c>
      <c r="P308" s="3" t="s">
        <v>23</v>
      </c>
      <c r="Q308" s="5"/>
    </row>
    <row r="309" spans="1:17" ht="31">
      <c r="A309" s="5">
        <v>304</v>
      </c>
      <c r="B309" s="6" t="s">
        <v>16</v>
      </c>
      <c r="C309" s="5" t="str">
        <f>HYPERLINK("http://data.overheid.nl/data/dataset/rijkswaterstaat-inkoopplanning-overzicht-voorgenomen-werkzaamheden","Rijkswaterstaat - Inkoopplanning overzicht voorgenomen werkzaamheden")</f>
        <v>Rijkswaterstaat - Inkoopplanning overzicht voorgenomen werkzaamheden</v>
      </c>
      <c r="D309" s="6" t="s">
        <v>17</v>
      </c>
      <c r="E309" s="5" t="s">
        <v>18</v>
      </c>
      <c r="F309" s="6" t="s">
        <v>813</v>
      </c>
      <c r="G309" s="5" t="s">
        <v>242</v>
      </c>
      <c r="H309" s="6" t="s">
        <v>20</v>
      </c>
      <c r="I309" s="5" t="s">
        <v>21</v>
      </c>
      <c r="J309" s="4" t="s">
        <v>22</v>
      </c>
      <c r="K309" s="2" t="s">
        <v>23</v>
      </c>
      <c r="L309" s="6" t="s">
        <v>24</v>
      </c>
      <c r="M309" s="5" t="s">
        <v>25</v>
      </c>
      <c r="N309" s="3" t="s">
        <v>26</v>
      </c>
      <c r="O309" s="5">
        <v>1</v>
      </c>
      <c r="P309" s="3" t="s">
        <v>23</v>
      </c>
      <c r="Q309" s="5"/>
    </row>
    <row r="310" spans="1:17" ht="31">
      <c r="A310" s="5">
        <v>305</v>
      </c>
      <c r="B310" s="6" t="s">
        <v>16</v>
      </c>
      <c r="C310" s="5" t="str">
        <f>HYPERLINK("http://data.overheid.nl/data/dataset/rijkswaterstaat-documenten-data-eisen-ultimo","Rijkswaterstaat - Documenten data eisen Ultimo")</f>
        <v>Rijkswaterstaat - Documenten data eisen Ultimo</v>
      </c>
      <c r="D310" s="6" t="s">
        <v>17</v>
      </c>
      <c r="E310" s="5" t="s">
        <v>18</v>
      </c>
      <c r="F310" s="6" t="s">
        <v>813</v>
      </c>
      <c r="G310" s="5" t="s">
        <v>243</v>
      </c>
      <c r="H310" s="6" t="s">
        <v>20</v>
      </c>
      <c r="I310" s="5" t="s">
        <v>21</v>
      </c>
      <c r="J310" s="4" t="s">
        <v>22</v>
      </c>
      <c r="K310" s="2" t="s">
        <v>23</v>
      </c>
      <c r="L310" s="6" t="s">
        <v>24</v>
      </c>
      <c r="M310" s="5" t="s">
        <v>25</v>
      </c>
      <c r="N310" s="3" t="s">
        <v>26</v>
      </c>
      <c r="O310" s="5">
        <v>1</v>
      </c>
      <c r="P310" s="3" t="s">
        <v>23</v>
      </c>
      <c r="Q310" s="5"/>
    </row>
    <row r="311" spans="1:17" ht="31">
      <c r="A311" s="5">
        <v>306</v>
      </c>
      <c r="B311" s="6" t="s">
        <v>16</v>
      </c>
      <c r="C311" s="5" t="str">
        <f>HYPERLINK("http://data.overheid.nl/data/dataset/rijkswaterstaat-documenten-data-eisen-primaire-meetkundige-grondslag","Rijkswaterstaat - Documenten data eisen Primaire Meetkundige Grondslag")</f>
        <v>Rijkswaterstaat - Documenten data eisen Primaire Meetkundige Grondslag</v>
      </c>
      <c r="D311" s="6" t="s">
        <v>17</v>
      </c>
      <c r="E311" s="5" t="s">
        <v>18</v>
      </c>
      <c r="F311" s="6" t="s">
        <v>813</v>
      </c>
      <c r="G311" s="5" t="s">
        <v>244</v>
      </c>
      <c r="H311" s="6" t="s">
        <v>20</v>
      </c>
      <c r="I311" s="5" t="s">
        <v>21</v>
      </c>
      <c r="J311" s="4" t="s">
        <v>22</v>
      </c>
      <c r="K311" s="2" t="s">
        <v>23</v>
      </c>
      <c r="L311" s="6" t="s">
        <v>24</v>
      </c>
      <c r="M311" s="5" t="s">
        <v>25</v>
      </c>
      <c r="N311" s="3" t="s">
        <v>26</v>
      </c>
      <c r="O311" s="5">
        <v>1</v>
      </c>
      <c r="P311" s="3" t="s">
        <v>23</v>
      </c>
      <c r="Q311" s="5"/>
    </row>
    <row r="312" spans="1:17" ht="31">
      <c r="A312" s="5">
        <v>307</v>
      </c>
      <c r="B312" s="6" t="s">
        <v>16</v>
      </c>
      <c r="C312" s="5" t="str">
        <f>HYPERLINK("http://data.overheid.nl/data/dataset/rijkswaterstaat-documenten-data-eisen-nul-digitaal-terrein-model","Rijkswaterstaat - Documenten data eisen Nul Digitaal Terrein Model")</f>
        <v>Rijkswaterstaat - Documenten data eisen Nul Digitaal Terrein Model</v>
      </c>
      <c r="D312" s="6" t="s">
        <v>17</v>
      </c>
      <c r="E312" s="5" t="s">
        <v>18</v>
      </c>
      <c r="F312" s="6" t="s">
        <v>813</v>
      </c>
      <c r="G312" s="5" t="s">
        <v>245</v>
      </c>
      <c r="H312" s="6" t="s">
        <v>20</v>
      </c>
      <c r="I312" s="5" t="s">
        <v>21</v>
      </c>
      <c r="J312" s="4" t="s">
        <v>22</v>
      </c>
      <c r="K312" s="2" t="s">
        <v>23</v>
      </c>
      <c r="L312" s="6" t="s">
        <v>24</v>
      </c>
      <c r="M312" s="5" t="s">
        <v>25</v>
      </c>
      <c r="N312" s="3" t="s">
        <v>26</v>
      </c>
      <c r="O312" s="5">
        <v>1</v>
      </c>
      <c r="P312" s="3" t="s">
        <v>23</v>
      </c>
      <c r="Q312" s="5"/>
    </row>
    <row r="313" spans="1:17" ht="31">
      <c r="A313" s="5">
        <v>308</v>
      </c>
      <c r="B313" s="6" t="s">
        <v>16</v>
      </c>
      <c r="C313" s="5" t="str">
        <f>HYPERLINK("http://data.overheid.nl/data/dataset/rijkswaterstaat-documenten-data-eisen-kerngis-droog-en-beheerkaart-nat","Rijkswaterstaat - Documenten data eisen Kerngis Droog en Beheerkaart Nat")</f>
        <v>Rijkswaterstaat - Documenten data eisen Kerngis Droog en Beheerkaart Nat</v>
      </c>
      <c r="D313" s="6" t="s">
        <v>17</v>
      </c>
      <c r="E313" s="5" t="s">
        <v>18</v>
      </c>
      <c r="F313" s="6" t="s">
        <v>813</v>
      </c>
      <c r="G313" s="5" t="s">
        <v>246</v>
      </c>
      <c r="H313" s="6" t="s">
        <v>20</v>
      </c>
      <c r="I313" s="5" t="s">
        <v>21</v>
      </c>
      <c r="J313" s="4" t="s">
        <v>22</v>
      </c>
      <c r="K313" s="2" t="s">
        <v>23</v>
      </c>
      <c r="L313" s="6" t="s">
        <v>24</v>
      </c>
      <c r="M313" s="5" t="s">
        <v>25</v>
      </c>
      <c r="N313" s="3" t="s">
        <v>26</v>
      </c>
      <c r="O313" s="5">
        <v>1</v>
      </c>
      <c r="P313" s="3" t="s">
        <v>23</v>
      </c>
      <c r="Q313" s="5"/>
    </row>
    <row r="314" spans="1:17" ht="31">
      <c r="A314" s="5">
        <v>309</v>
      </c>
      <c r="B314" s="6" t="s">
        <v>16</v>
      </c>
      <c r="C314" s="5" t="str">
        <f>HYPERLINK("http://data.overheid.nl/data/dataset/rijkswaterstaat-documenten-data-eisen-digitaal-topografisch-bestand","Rijkswaterstaat - Documenten data eisen Digitaal Topografisch Bestand")</f>
        <v>Rijkswaterstaat - Documenten data eisen Digitaal Topografisch Bestand</v>
      </c>
      <c r="D314" s="6" t="s">
        <v>17</v>
      </c>
      <c r="E314" s="5" t="s">
        <v>18</v>
      </c>
      <c r="F314" s="6" t="s">
        <v>813</v>
      </c>
      <c r="G314" s="5" t="s">
        <v>247</v>
      </c>
      <c r="H314" s="6" t="s">
        <v>20</v>
      </c>
      <c r="I314" s="5" t="s">
        <v>21</v>
      </c>
      <c r="J314" s="4" t="s">
        <v>22</v>
      </c>
      <c r="K314" s="2" t="s">
        <v>23</v>
      </c>
      <c r="L314" s="6" t="s">
        <v>24</v>
      </c>
      <c r="M314" s="5" t="s">
        <v>25</v>
      </c>
      <c r="N314" s="3" t="s">
        <v>26</v>
      </c>
      <c r="O314" s="5">
        <v>1</v>
      </c>
      <c r="P314" s="3" t="s">
        <v>23</v>
      </c>
      <c r="Q314" s="5"/>
    </row>
    <row r="315" spans="1:17" ht="31">
      <c r="A315" s="5">
        <v>310</v>
      </c>
      <c r="B315" s="6" t="s">
        <v>16</v>
      </c>
      <c r="C315" s="5" t="str">
        <f>HYPERLINK("http://data.overheid.nl/data/dataset/rijkswaterstaat-documenten-data-eisen-deformatiemetingen-kunstwerken","Rijkswaterstaat - Documenten data eisen deformatiemetingen kunstwerken")</f>
        <v>Rijkswaterstaat - Documenten data eisen deformatiemetingen kunstwerken</v>
      </c>
      <c r="D315" s="6" t="s">
        <v>17</v>
      </c>
      <c r="E315" s="5" t="s">
        <v>18</v>
      </c>
      <c r="F315" s="6" t="s">
        <v>813</v>
      </c>
      <c r="G315" s="5" t="s">
        <v>248</v>
      </c>
      <c r="H315" s="6" t="s">
        <v>20</v>
      </c>
      <c r="I315" s="5" t="s">
        <v>21</v>
      </c>
      <c r="J315" s="4" t="s">
        <v>22</v>
      </c>
      <c r="K315" s="2" t="s">
        <v>23</v>
      </c>
      <c r="L315" s="6" t="s">
        <v>24</v>
      </c>
      <c r="M315" s="5" t="s">
        <v>25</v>
      </c>
      <c r="N315" s="3" t="s">
        <v>26</v>
      </c>
      <c r="O315" s="5">
        <v>1</v>
      </c>
      <c r="P315" s="3" t="s">
        <v>23</v>
      </c>
      <c r="Q315" s="5"/>
    </row>
    <row r="316" spans="1:17" ht="31">
      <c r="A316" s="5">
        <v>311</v>
      </c>
      <c r="B316" s="6" t="s">
        <v>16</v>
      </c>
      <c r="C316" s="5" t="str">
        <f>HYPERLINK("http://data.overheid.nl/data/dataset/rijkswaterstaat-documenten-data-eisen-cad-bestanden-en-tekeningen","Rijkswaterstaat - Documenten data eisen CAD bestanden en tekeningen")</f>
        <v>Rijkswaterstaat - Documenten data eisen CAD bestanden en tekeningen</v>
      </c>
      <c r="D316" s="6" t="s">
        <v>17</v>
      </c>
      <c r="E316" s="5" t="s">
        <v>18</v>
      </c>
      <c r="F316" s="6" t="s">
        <v>813</v>
      </c>
      <c r="G316" s="5" t="s">
        <v>249</v>
      </c>
      <c r="H316" s="6" t="s">
        <v>20</v>
      </c>
      <c r="I316" s="5" t="s">
        <v>21</v>
      </c>
      <c r="J316" s="4" t="s">
        <v>22</v>
      </c>
      <c r="K316" s="2" t="s">
        <v>23</v>
      </c>
      <c r="L316" s="6" t="s">
        <v>24</v>
      </c>
      <c r="M316" s="5" t="s">
        <v>25</v>
      </c>
      <c r="N316" s="3" t="s">
        <v>26</v>
      </c>
      <c r="O316" s="5">
        <v>1</v>
      </c>
      <c r="P316" s="3" t="s">
        <v>23</v>
      </c>
      <c r="Q316" s="5"/>
    </row>
    <row r="317" spans="1:17" ht="31">
      <c r="A317" s="5">
        <v>312</v>
      </c>
      <c r="B317" s="6" t="s">
        <v>16</v>
      </c>
      <c r="C317" s="5" t="str">
        <f>HYPERLINK("http://data.overheid.nl/data/dataset/rijkswaterstaat-documenten-data-eisen-areaalgegevens","Rijkswaterstaat - Documenten data eisen areaalgegevens")</f>
        <v>Rijkswaterstaat - Documenten data eisen areaalgegevens</v>
      </c>
      <c r="D317" s="6" t="s">
        <v>17</v>
      </c>
      <c r="E317" s="5" t="s">
        <v>18</v>
      </c>
      <c r="F317" s="6" t="s">
        <v>813</v>
      </c>
      <c r="G317" s="5" t="s">
        <v>250</v>
      </c>
      <c r="H317" s="6" t="s">
        <v>20</v>
      </c>
      <c r="I317" s="5" t="s">
        <v>21</v>
      </c>
      <c r="J317" s="4" t="s">
        <v>22</v>
      </c>
      <c r="K317" s="2" t="s">
        <v>23</v>
      </c>
      <c r="L317" s="6" t="s">
        <v>24</v>
      </c>
      <c r="M317" s="5" t="s">
        <v>25</v>
      </c>
      <c r="N317" s="3" t="s">
        <v>26</v>
      </c>
      <c r="O317" s="5">
        <v>1</v>
      </c>
      <c r="P317" s="3" t="s">
        <v>23</v>
      </c>
      <c r="Q317" s="5"/>
    </row>
    <row r="318" spans="1:17" ht="31">
      <c r="A318" s="5">
        <v>313</v>
      </c>
      <c r="B318" s="6" t="s">
        <v>16</v>
      </c>
      <c r="C318" s="5" t="str">
        <f>HYPERLINK("http://data.overheid.nl/data/dataset/rijkswaterstaat-bureau-veiligheidsbeambte","Rijkswaterstaat - Bureau veiligheidsbeambte")</f>
        <v>Rijkswaterstaat - Bureau veiligheidsbeambte</v>
      </c>
      <c r="D318" s="6" t="s">
        <v>17</v>
      </c>
      <c r="E318" s="5" t="s">
        <v>18</v>
      </c>
      <c r="F318" s="6" t="s">
        <v>813</v>
      </c>
      <c r="G318" s="5" t="s">
        <v>251</v>
      </c>
      <c r="H318" s="6" t="s">
        <v>20</v>
      </c>
      <c r="I318" s="5" t="s">
        <v>21</v>
      </c>
      <c r="J318" s="4" t="s">
        <v>22</v>
      </c>
      <c r="K318" s="2" t="s">
        <v>23</v>
      </c>
      <c r="L318" s="6" t="s">
        <v>24</v>
      </c>
      <c r="M318" s="5" t="s">
        <v>25</v>
      </c>
      <c r="N318" s="3" t="s">
        <v>26</v>
      </c>
      <c r="O318" s="5">
        <v>2</v>
      </c>
      <c r="P318" s="3" t="s">
        <v>23</v>
      </c>
      <c r="Q318" s="5"/>
    </row>
    <row r="319" spans="1:17" ht="31">
      <c r="A319" s="5">
        <v>314</v>
      </c>
      <c r="B319" s="6" t="s">
        <v>16</v>
      </c>
      <c r="C319" s="5" t="str">
        <f>HYPERLINK("http://data.overheid.nl/data/dataset/digitaal-topografisch-bestand-bladindeling","Digitaal Topografisch Bestand bladindeling")</f>
        <v>Digitaal Topografisch Bestand bladindeling</v>
      </c>
      <c r="D319" s="6" t="s">
        <v>17</v>
      </c>
      <c r="E319" s="5" t="s">
        <v>18</v>
      </c>
      <c r="F319" s="6" t="s">
        <v>813</v>
      </c>
      <c r="G319" s="5" t="s">
        <v>252</v>
      </c>
      <c r="H319" s="6" t="s">
        <v>20</v>
      </c>
      <c r="I319" s="5" t="s">
        <v>21</v>
      </c>
      <c r="J319" s="4" t="s">
        <v>22</v>
      </c>
      <c r="K319" s="2" t="s">
        <v>23</v>
      </c>
      <c r="L319" s="6" t="s">
        <v>24</v>
      </c>
      <c r="M319" s="5" t="s">
        <v>25</v>
      </c>
      <c r="N319" s="3" t="s">
        <v>26</v>
      </c>
      <c r="O319" s="5">
        <v>2</v>
      </c>
      <c r="P319" s="3" t="s">
        <v>23</v>
      </c>
      <c r="Q319" s="5"/>
    </row>
    <row r="320" spans="1:17" ht="46.5">
      <c r="A320" s="5">
        <v>315</v>
      </c>
      <c r="B320" s="6" t="s">
        <v>16</v>
      </c>
      <c r="C320" s="5" t="str">
        <f>HYPERLINK("http://data.overheid.nl/data/dataset/hoogtebestand-waal-2010","Hoogtebestand Waal 2010")</f>
        <v>Hoogtebestand Waal 2010</v>
      </c>
      <c r="D320" s="6" t="s">
        <v>17</v>
      </c>
      <c r="E320" s="5" t="s">
        <v>18</v>
      </c>
      <c r="F320" s="6" t="s">
        <v>813</v>
      </c>
      <c r="G320" s="5" t="s">
        <v>253</v>
      </c>
      <c r="H320" s="6" t="s">
        <v>20</v>
      </c>
      <c r="I320" s="5" t="s">
        <v>21</v>
      </c>
      <c r="J320" s="4" t="s">
        <v>22</v>
      </c>
      <c r="K320" s="2" t="s">
        <v>23</v>
      </c>
      <c r="L320" s="6" t="s">
        <v>24</v>
      </c>
      <c r="M320" s="5" t="s">
        <v>25</v>
      </c>
      <c r="N320" s="3" t="s">
        <v>26</v>
      </c>
      <c r="O320" s="5">
        <v>2</v>
      </c>
      <c r="P320" s="3" t="s">
        <v>23</v>
      </c>
      <c r="Q320" s="5"/>
    </row>
    <row r="321" spans="1:17" ht="46.5">
      <c r="A321" s="5">
        <v>316</v>
      </c>
      <c r="B321" s="6" t="s">
        <v>16</v>
      </c>
      <c r="C321" s="5" t="str">
        <f>HYPERLINK("http://data.overheid.nl/data/dataset/orthofotomozaiek-eroderende-maasoevers-falsecolour-2014","Orthofotomozaiek Eroderende Maasoevers falsecolour 2014")</f>
        <v>Orthofotomozaiek Eroderende Maasoevers falsecolour 2014</v>
      </c>
      <c r="D321" s="6" t="s">
        <v>17</v>
      </c>
      <c r="E321" s="5" t="s">
        <v>18</v>
      </c>
      <c r="F321" s="6" t="s">
        <v>813</v>
      </c>
      <c r="G321" s="5" t="s">
        <v>254</v>
      </c>
      <c r="H321" s="6" t="s">
        <v>20</v>
      </c>
      <c r="I321" s="5" t="s">
        <v>21</v>
      </c>
      <c r="J321" s="4" t="s">
        <v>22</v>
      </c>
      <c r="K321" s="2" t="s">
        <v>23</v>
      </c>
      <c r="L321" s="6" t="s">
        <v>24</v>
      </c>
      <c r="M321" s="5" t="s">
        <v>25</v>
      </c>
      <c r="N321" s="3" t="s">
        <v>26</v>
      </c>
      <c r="O321" s="5">
        <v>2</v>
      </c>
      <c r="P321" s="3" t="s">
        <v>23</v>
      </c>
      <c r="Q321" s="5"/>
    </row>
    <row r="322" spans="1:17" ht="31">
      <c r="A322" s="5">
        <v>317</v>
      </c>
      <c r="B322" s="6" t="s">
        <v>16</v>
      </c>
      <c r="C322" s="5" t="str">
        <f>HYPERLINK("http://data.overheid.nl/data/dataset/vlakken-wegmeubilair-rws-dienst-noord-nederland","Vlakken wegmeubilair RWS dienst Noord-Nederland")</f>
        <v>Vlakken wegmeubilair RWS dienst Noord-Nederland</v>
      </c>
      <c r="D322" s="6" t="s">
        <v>17</v>
      </c>
      <c r="E322" s="5" t="s">
        <v>18</v>
      </c>
      <c r="F322" s="6" t="s">
        <v>813</v>
      </c>
      <c r="G322" s="5" t="s">
        <v>255</v>
      </c>
      <c r="H322" s="6" t="s">
        <v>20</v>
      </c>
      <c r="I322" s="5" t="s">
        <v>21</v>
      </c>
      <c r="J322" s="4" t="s">
        <v>22</v>
      </c>
      <c r="K322" s="2" t="s">
        <v>23</v>
      </c>
      <c r="L322" s="6" t="s">
        <v>24</v>
      </c>
      <c r="M322" s="5" t="s">
        <v>25</v>
      </c>
      <c r="N322" s="3" t="s">
        <v>26</v>
      </c>
      <c r="O322" s="5">
        <v>2</v>
      </c>
      <c r="P322" s="3" t="s">
        <v>23</v>
      </c>
      <c r="Q322" s="5"/>
    </row>
    <row r="323" spans="1:17" ht="77.5">
      <c r="A323" s="5">
        <v>318</v>
      </c>
      <c r="B323" s="6" t="s">
        <v>16</v>
      </c>
      <c r="C323" s="5" t="str">
        <f>HYPERLINK("http://data.overheid.nl/data/dataset/vlakken-waterafvoer-rws-dienst-noord-nederland","Vlakken waterafvoer RWS dienst Noord-Nederland")</f>
        <v>Vlakken waterafvoer RWS dienst Noord-Nederland</v>
      </c>
      <c r="D323" s="6" t="s">
        <v>17</v>
      </c>
      <c r="E323" s="5" t="s">
        <v>18</v>
      </c>
      <c r="F323" s="6" t="s">
        <v>813</v>
      </c>
      <c r="G323" s="2" t="s">
        <v>256</v>
      </c>
      <c r="H323" s="6" t="s">
        <v>20</v>
      </c>
      <c r="I323" s="5" t="s">
        <v>21</v>
      </c>
      <c r="J323" s="4" t="s">
        <v>22</v>
      </c>
      <c r="K323" s="2" t="s">
        <v>23</v>
      </c>
      <c r="L323" s="6" t="s">
        <v>24</v>
      </c>
      <c r="M323" s="5" t="s">
        <v>25</v>
      </c>
      <c r="N323" s="3" t="s">
        <v>26</v>
      </c>
      <c r="O323" s="5">
        <v>2</v>
      </c>
      <c r="P323" s="3" t="s">
        <v>23</v>
      </c>
      <c r="Q323" s="5"/>
    </row>
    <row r="324" spans="1:17" ht="31">
      <c r="A324" s="5">
        <v>319</v>
      </c>
      <c r="B324" s="6" t="s">
        <v>16</v>
      </c>
      <c r="C324" s="5" t="str">
        <f>HYPERLINK("http://data.overheid.nl/data/dataset/vlakken-terrein-rws-dienst-noord-nederland","Vlakken terrein RWS dienst Noord-Nederland")</f>
        <v>Vlakken terrein RWS dienst Noord-Nederland</v>
      </c>
      <c r="D324" s="6" t="s">
        <v>17</v>
      </c>
      <c r="E324" s="5" t="s">
        <v>18</v>
      </c>
      <c r="F324" s="6" t="s">
        <v>813</v>
      </c>
      <c r="G324" s="5" t="s">
        <v>257</v>
      </c>
      <c r="H324" s="6" t="s">
        <v>20</v>
      </c>
      <c r="I324" s="5" t="s">
        <v>21</v>
      </c>
      <c r="J324" s="4" t="s">
        <v>22</v>
      </c>
      <c r="K324" s="2" t="s">
        <v>23</v>
      </c>
      <c r="L324" s="6" t="s">
        <v>24</v>
      </c>
      <c r="M324" s="5" t="s">
        <v>25</v>
      </c>
      <c r="N324" s="3" t="s">
        <v>26</v>
      </c>
      <c r="O324" s="5">
        <v>2</v>
      </c>
      <c r="P324" s="3" t="s">
        <v>23</v>
      </c>
      <c r="Q324" s="5"/>
    </row>
    <row r="325" spans="1:17" ht="31">
      <c r="A325" s="5">
        <v>320</v>
      </c>
      <c r="B325" s="6" t="s">
        <v>16</v>
      </c>
      <c r="C325" s="5" t="str">
        <f>HYPERLINK("http://data.overheid.nl/data/dataset/vlakken-gebouw-installaties-rws-dienst-noord-nederland","Vlakken gebouw installaties RWS dienst Noord-Nederland")</f>
        <v>Vlakken gebouw installaties RWS dienst Noord-Nederland</v>
      </c>
      <c r="D325" s="6" t="s">
        <v>17</v>
      </c>
      <c r="E325" s="5" t="s">
        <v>18</v>
      </c>
      <c r="F325" s="6" t="s">
        <v>813</v>
      </c>
      <c r="G325" s="5" t="s">
        <v>258</v>
      </c>
      <c r="H325" s="6" t="s">
        <v>20</v>
      </c>
      <c r="I325" s="5" t="s">
        <v>21</v>
      </c>
      <c r="J325" s="4" t="s">
        <v>22</v>
      </c>
      <c r="K325" s="2" t="s">
        <v>23</v>
      </c>
      <c r="L325" s="6" t="s">
        <v>24</v>
      </c>
      <c r="M325" s="5" t="s">
        <v>25</v>
      </c>
      <c r="N325" s="3" t="s">
        <v>26</v>
      </c>
      <c r="O325" s="5">
        <v>2</v>
      </c>
      <c r="P325" s="3" t="s">
        <v>23</v>
      </c>
      <c r="Q325" s="5"/>
    </row>
    <row r="326" spans="1:17" ht="46.5">
      <c r="A326" s="5">
        <v>321</v>
      </c>
      <c r="B326" s="6" t="s">
        <v>16</v>
      </c>
      <c r="C326" s="5" t="str">
        <f>HYPERLINK("http://data.overheid.nl/data/dataset/punten-wegmeubilair-rws-dienst-noord-nederland","Punten wegmeubilair RWS dienst Noord-Nederland")</f>
        <v>Punten wegmeubilair RWS dienst Noord-Nederland</v>
      </c>
      <c r="D326" s="6" t="s">
        <v>17</v>
      </c>
      <c r="E326" s="5" t="s">
        <v>18</v>
      </c>
      <c r="F326" s="6" t="s">
        <v>813</v>
      </c>
      <c r="G326" s="5" t="s">
        <v>259</v>
      </c>
      <c r="H326" s="6" t="s">
        <v>20</v>
      </c>
      <c r="I326" s="5" t="s">
        <v>21</v>
      </c>
      <c r="J326" s="4" t="s">
        <v>22</v>
      </c>
      <c r="K326" s="2" t="s">
        <v>23</v>
      </c>
      <c r="L326" s="6" t="s">
        <v>24</v>
      </c>
      <c r="M326" s="5" t="s">
        <v>25</v>
      </c>
      <c r="N326" s="3" t="s">
        <v>26</v>
      </c>
      <c r="O326" s="5">
        <v>4</v>
      </c>
      <c r="P326" s="3" t="s">
        <v>23</v>
      </c>
      <c r="Q326" s="5"/>
    </row>
    <row r="327" spans="1:17" ht="31">
      <c r="A327" s="5">
        <v>322</v>
      </c>
      <c r="B327" s="6" t="s">
        <v>16</v>
      </c>
      <c r="C327" s="5" t="str">
        <f>HYPERLINK("http://data.overheid.nl/data/dataset/punten-waterafvoer-rws-dienst-noord-nederland","Punten waterafvoer RWS dienst Noord-Nederland")</f>
        <v>Punten waterafvoer RWS dienst Noord-Nederland</v>
      </c>
      <c r="D327" s="6" t="s">
        <v>17</v>
      </c>
      <c r="E327" s="5" t="s">
        <v>18</v>
      </c>
      <c r="F327" s="6" t="s">
        <v>813</v>
      </c>
      <c r="G327" s="5" t="s">
        <v>260</v>
      </c>
      <c r="H327" s="6" t="s">
        <v>20</v>
      </c>
      <c r="I327" s="5" t="s">
        <v>21</v>
      </c>
      <c r="J327" s="4" t="s">
        <v>22</v>
      </c>
      <c r="K327" s="2" t="s">
        <v>23</v>
      </c>
      <c r="L327" s="6" t="s">
        <v>24</v>
      </c>
      <c r="M327" s="5" t="s">
        <v>25</v>
      </c>
      <c r="N327" s="3" t="s">
        <v>26</v>
      </c>
      <c r="O327" s="5">
        <v>2</v>
      </c>
      <c r="P327" s="3" t="s">
        <v>23</v>
      </c>
      <c r="Q327" s="5"/>
    </row>
    <row r="328" spans="1:17" ht="31">
      <c r="A328" s="5">
        <v>323</v>
      </c>
      <c r="B328" s="6" t="s">
        <v>16</v>
      </c>
      <c r="C328" s="5" t="str">
        <f>HYPERLINK("http://data.overheid.nl/data/dataset/punten-voorzieningen-rws-dienst-noord-nederland","Punten voorzieningen RWS dienst Noord-Nederland")</f>
        <v>Punten voorzieningen RWS dienst Noord-Nederland</v>
      </c>
      <c r="D328" s="6" t="s">
        <v>17</v>
      </c>
      <c r="E328" s="5" t="s">
        <v>18</v>
      </c>
      <c r="F328" s="6" t="s">
        <v>813</v>
      </c>
      <c r="G328" s="5" t="s">
        <v>261</v>
      </c>
      <c r="H328" s="6" t="s">
        <v>20</v>
      </c>
      <c r="I328" s="5" t="s">
        <v>21</v>
      </c>
      <c r="J328" s="4" t="s">
        <v>22</v>
      </c>
      <c r="K328" s="2" t="s">
        <v>23</v>
      </c>
      <c r="L328" s="6" t="s">
        <v>24</v>
      </c>
      <c r="M328" s="5" t="s">
        <v>25</v>
      </c>
      <c r="N328" s="3" t="s">
        <v>26</v>
      </c>
      <c r="O328" s="5">
        <v>2</v>
      </c>
      <c r="P328" s="3" t="s">
        <v>23</v>
      </c>
      <c r="Q328" s="5"/>
    </row>
    <row r="329" spans="1:17" ht="31">
      <c r="A329" s="5">
        <v>324</v>
      </c>
      <c r="B329" s="6" t="s">
        <v>16</v>
      </c>
      <c r="C329" s="5" t="str">
        <f>HYPERLINK("http://data.overheid.nl/data/dataset/punten-markering-rws-dienst-noord-nederland","Punten markering RWS dienst Noord-Nederland")</f>
        <v>Punten markering RWS dienst Noord-Nederland</v>
      </c>
      <c r="D329" s="6" t="s">
        <v>17</v>
      </c>
      <c r="E329" s="5" t="s">
        <v>18</v>
      </c>
      <c r="F329" s="6" t="s">
        <v>813</v>
      </c>
      <c r="G329" s="5" t="s">
        <v>262</v>
      </c>
      <c r="H329" s="6" t="s">
        <v>20</v>
      </c>
      <c r="I329" s="5" t="s">
        <v>21</v>
      </c>
      <c r="J329" s="4" t="s">
        <v>22</v>
      </c>
      <c r="K329" s="2" t="s">
        <v>23</v>
      </c>
      <c r="L329" s="6" t="s">
        <v>24</v>
      </c>
      <c r="M329" s="5" t="s">
        <v>25</v>
      </c>
      <c r="N329" s="3" t="s">
        <v>26</v>
      </c>
      <c r="O329" s="5">
        <v>2</v>
      </c>
      <c r="P329" s="3" t="s">
        <v>23</v>
      </c>
      <c r="Q329" s="5"/>
    </row>
    <row r="330" spans="1:17" ht="31">
      <c r="A330" s="5">
        <v>325</v>
      </c>
      <c r="B330" s="6" t="s">
        <v>16</v>
      </c>
      <c r="C330" s="5" t="str">
        <f>HYPERLINK("http://data.overheid.nl/data/dataset/punten-kunstwerken-rws-dienst-noord-nederland","Punten kunstwerken RWS dienst Noord-Nederland")</f>
        <v>Punten kunstwerken RWS dienst Noord-Nederland</v>
      </c>
      <c r="D330" s="6" t="s">
        <v>17</v>
      </c>
      <c r="E330" s="5" t="s">
        <v>18</v>
      </c>
      <c r="F330" s="6" t="s">
        <v>813</v>
      </c>
      <c r="G330" s="5" t="s">
        <v>263</v>
      </c>
      <c r="H330" s="6" t="s">
        <v>20</v>
      </c>
      <c r="I330" s="5" t="s">
        <v>21</v>
      </c>
      <c r="J330" s="4" t="s">
        <v>22</v>
      </c>
      <c r="K330" s="2" t="s">
        <v>23</v>
      </c>
      <c r="L330" s="6" t="s">
        <v>24</v>
      </c>
      <c r="M330" s="5" t="s">
        <v>25</v>
      </c>
      <c r="N330" s="3" t="s">
        <v>26</v>
      </c>
      <c r="O330" s="5">
        <v>2</v>
      </c>
      <c r="P330" s="3" t="s">
        <v>23</v>
      </c>
      <c r="Q330" s="5"/>
    </row>
    <row r="331" spans="1:17" ht="31">
      <c r="A331" s="5">
        <v>326</v>
      </c>
      <c r="B331" s="6" t="s">
        <v>16</v>
      </c>
      <c r="C331" s="5" t="str">
        <f>HYPERLINK("http://data.overheid.nl/data/dataset/markering-vlakken-rws-dienst-noord-nederland","markering vlakken RWS dienst Noord-Nederland")</f>
        <v>markering vlakken RWS dienst Noord-Nederland</v>
      </c>
      <c r="D331" s="6" t="s">
        <v>17</v>
      </c>
      <c r="E331" s="5" t="s">
        <v>18</v>
      </c>
      <c r="F331" s="6" t="s">
        <v>813</v>
      </c>
      <c r="G331" s="5" t="s">
        <v>264</v>
      </c>
      <c r="H331" s="6" t="s">
        <v>20</v>
      </c>
      <c r="I331" s="5" t="s">
        <v>21</v>
      </c>
      <c r="J331" s="4" t="s">
        <v>22</v>
      </c>
      <c r="K331" s="2" t="s">
        <v>23</v>
      </c>
      <c r="L331" s="6" t="s">
        <v>24</v>
      </c>
      <c r="M331" s="5" t="s">
        <v>25</v>
      </c>
      <c r="N331" s="3" t="s">
        <v>26</v>
      </c>
      <c r="O331" s="5">
        <v>2</v>
      </c>
      <c r="P331" s="3" t="s">
        <v>23</v>
      </c>
      <c r="Q331" s="5"/>
    </row>
    <row r="332" spans="1:17" ht="31">
      <c r="A332" s="5">
        <v>327</v>
      </c>
      <c r="B332" s="6" t="s">
        <v>16</v>
      </c>
      <c r="C332" s="5" t="str">
        <f>HYPERLINK("http://data.overheid.nl/data/dataset/lijnen-wegmeubilair-rws-dienst-noord-nederland","Lijnen wegmeubilair RWS dienst Noord-Nederland")</f>
        <v>Lijnen wegmeubilair RWS dienst Noord-Nederland</v>
      </c>
      <c r="D332" s="6" t="s">
        <v>17</v>
      </c>
      <c r="E332" s="5" t="s">
        <v>18</v>
      </c>
      <c r="F332" s="6" t="s">
        <v>813</v>
      </c>
      <c r="G332" s="5" t="s">
        <v>265</v>
      </c>
      <c r="H332" s="6" t="s">
        <v>20</v>
      </c>
      <c r="I332" s="5" t="s">
        <v>21</v>
      </c>
      <c r="J332" s="4" t="s">
        <v>22</v>
      </c>
      <c r="K332" s="2" t="s">
        <v>23</v>
      </c>
      <c r="L332" s="6" t="s">
        <v>24</v>
      </c>
      <c r="M332" s="5" t="s">
        <v>25</v>
      </c>
      <c r="N332" s="3" t="s">
        <v>26</v>
      </c>
      <c r="O332" s="5">
        <v>2</v>
      </c>
      <c r="P332" s="3" t="s">
        <v>23</v>
      </c>
      <c r="Q332" s="5"/>
    </row>
    <row r="333" spans="1:17" ht="77.5">
      <c r="A333" s="5">
        <v>328</v>
      </c>
      <c r="B333" s="6" t="s">
        <v>16</v>
      </c>
      <c r="C333" s="5" t="str">
        <f>HYPERLINK("http://data.overheid.nl/data/dataset/lijnen-waterafvoer-rws-dienst-noord-nederland","Lijnen waterafvoer RWS dienst Noord-Nederland")</f>
        <v>Lijnen waterafvoer RWS dienst Noord-Nederland</v>
      </c>
      <c r="D333" s="6" t="s">
        <v>17</v>
      </c>
      <c r="E333" s="5" t="s">
        <v>18</v>
      </c>
      <c r="F333" s="6" t="s">
        <v>813</v>
      </c>
      <c r="G333" s="2" t="s">
        <v>256</v>
      </c>
      <c r="H333" s="6" t="s">
        <v>20</v>
      </c>
      <c r="I333" s="5" t="s">
        <v>21</v>
      </c>
      <c r="J333" s="4" t="s">
        <v>22</v>
      </c>
      <c r="K333" s="2" t="s">
        <v>23</v>
      </c>
      <c r="L333" s="6" t="s">
        <v>24</v>
      </c>
      <c r="M333" s="5" t="s">
        <v>25</v>
      </c>
      <c r="N333" s="3" t="s">
        <v>26</v>
      </c>
      <c r="O333" s="5">
        <v>2</v>
      </c>
      <c r="P333" s="3" t="s">
        <v>23</v>
      </c>
      <c r="Q333" s="5"/>
    </row>
    <row r="334" spans="1:17" ht="31">
      <c r="A334" s="5">
        <v>329</v>
      </c>
      <c r="B334" s="6" t="s">
        <v>16</v>
      </c>
      <c r="C334" s="5" t="str">
        <f>HYPERLINK("http://data.overheid.nl/data/dataset/lijnen-openbare-verlichting-rws-dienst-noord-nederland","Lijnen openbare verlichting RWS dienst Noord-Nederland")</f>
        <v>Lijnen openbare verlichting RWS dienst Noord-Nederland</v>
      </c>
      <c r="D334" s="6" t="s">
        <v>17</v>
      </c>
      <c r="E334" s="5" t="s">
        <v>18</v>
      </c>
      <c r="F334" s="6" t="s">
        <v>813</v>
      </c>
      <c r="G334" s="5" t="s">
        <v>266</v>
      </c>
      <c r="H334" s="6" t="s">
        <v>20</v>
      </c>
      <c r="I334" s="5" t="s">
        <v>21</v>
      </c>
      <c r="J334" s="4" t="s">
        <v>22</v>
      </c>
      <c r="K334" s="2" t="s">
        <v>23</v>
      </c>
      <c r="L334" s="6" t="s">
        <v>24</v>
      </c>
      <c r="M334" s="5" t="s">
        <v>25</v>
      </c>
      <c r="N334" s="3" t="s">
        <v>26</v>
      </c>
      <c r="O334" s="5">
        <v>2</v>
      </c>
      <c r="P334" s="3" t="s">
        <v>23</v>
      </c>
      <c r="Q334" s="5"/>
    </row>
    <row r="335" spans="1:17" ht="31">
      <c r="A335" s="5">
        <v>330</v>
      </c>
      <c r="B335" s="6" t="s">
        <v>16</v>
      </c>
      <c r="C335" s="5" t="str">
        <f>HYPERLINK("http://data.overheid.nl/data/dataset/lijnen-kunstwerken-rws-dienst-noord-nederland","Lijnen kunstwerken RWS dienst Noord-Nederland")</f>
        <v>Lijnen kunstwerken RWS dienst Noord-Nederland</v>
      </c>
      <c r="D335" s="6" t="s">
        <v>17</v>
      </c>
      <c r="E335" s="5" t="s">
        <v>18</v>
      </c>
      <c r="F335" s="6" t="s">
        <v>813</v>
      </c>
      <c r="G335" s="5" t="s">
        <v>267</v>
      </c>
      <c r="H335" s="6" t="s">
        <v>20</v>
      </c>
      <c r="I335" s="5" t="s">
        <v>21</v>
      </c>
      <c r="J335" s="4" t="s">
        <v>22</v>
      </c>
      <c r="K335" s="2" t="s">
        <v>23</v>
      </c>
      <c r="L335" s="6" t="s">
        <v>24</v>
      </c>
      <c r="M335" s="5" t="s">
        <v>25</v>
      </c>
      <c r="N335" s="3" t="s">
        <v>26</v>
      </c>
      <c r="O335" s="5">
        <v>2</v>
      </c>
      <c r="P335" s="3" t="s">
        <v>23</v>
      </c>
      <c r="Q335" s="5"/>
    </row>
    <row r="336" spans="1:17" ht="62">
      <c r="A336" s="5">
        <v>331</v>
      </c>
      <c r="B336" s="6" t="s">
        <v>16</v>
      </c>
      <c r="C336" s="5" t="str">
        <f>HYPERLINK("http://data.overheid.nl/data/dataset/normaal-amsterdams-peil","Normaal Amsterdams Peil")</f>
        <v>Normaal Amsterdams Peil</v>
      </c>
      <c r="D336" s="6" t="s">
        <v>17</v>
      </c>
      <c r="E336" s="5" t="s">
        <v>18</v>
      </c>
      <c r="F336" s="6" t="s">
        <v>813</v>
      </c>
      <c r="G336" s="5" t="s">
        <v>268</v>
      </c>
      <c r="H336" s="6" t="s">
        <v>20</v>
      </c>
      <c r="I336" s="5" t="s">
        <v>21</v>
      </c>
      <c r="J336" s="4" t="s">
        <v>22</v>
      </c>
      <c r="K336" s="2" t="s">
        <v>23</v>
      </c>
      <c r="L336" s="6" t="s">
        <v>24</v>
      </c>
      <c r="M336" s="5" t="s">
        <v>25</v>
      </c>
      <c r="N336" s="3" t="s">
        <v>26</v>
      </c>
      <c r="O336" s="5">
        <v>4</v>
      </c>
      <c r="P336" s="3" t="s">
        <v>23</v>
      </c>
      <c r="Q336" s="5"/>
    </row>
    <row r="337" spans="1:17" ht="46.5">
      <c r="A337" s="5">
        <v>332</v>
      </c>
      <c r="B337" s="6" t="s">
        <v>16</v>
      </c>
      <c r="C337" s="5" t="str">
        <f>HYPERLINK("http://data.overheid.nl/data/dataset/locaties-helicopterfotos-20130522","Locaties helicopterfotos 20130522")</f>
        <v>Locaties helicopterfotos 20130522</v>
      </c>
      <c r="D337" s="6" t="s">
        <v>17</v>
      </c>
      <c r="E337" s="5" t="s">
        <v>18</v>
      </c>
      <c r="F337" s="6" t="s">
        <v>813</v>
      </c>
      <c r="G337" s="5" t="s">
        <v>269</v>
      </c>
      <c r="H337" s="6" t="s">
        <v>28</v>
      </c>
      <c r="I337" s="5" t="s">
        <v>21</v>
      </c>
      <c r="J337" s="4" t="s">
        <v>22</v>
      </c>
      <c r="K337" s="2" t="s">
        <v>23</v>
      </c>
      <c r="L337" s="6" t="s">
        <v>24</v>
      </c>
      <c r="M337" s="5" t="s">
        <v>25</v>
      </c>
      <c r="N337" s="3" t="s">
        <v>26</v>
      </c>
      <c r="O337" s="5">
        <v>2</v>
      </c>
      <c r="P337" s="3" t="s">
        <v>23</v>
      </c>
      <c r="Q337" s="5"/>
    </row>
    <row r="338" spans="1:17" ht="124">
      <c r="A338" s="5">
        <v>333</v>
      </c>
      <c r="B338" s="6" t="s">
        <v>16</v>
      </c>
      <c r="C338" s="5" t="str">
        <f>HYPERLINK("http://data.overheid.nl/data/dataset/mijnbouwregeling-bijlage-4-scheepvaart","Mijnbouwregeling bijlage 4, scheepvaart")</f>
        <v>Mijnbouwregeling bijlage 4, scheepvaart</v>
      </c>
      <c r="D338" s="6" t="s">
        <v>17</v>
      </c>
      <c r="E338" s="5" t="s">
        <v>18</v>
      </c>
      <c r="F338" s="6" t="s">
        <v>813</v>
      </c>
      <c r="G338" s="5" t="s">
        <v>270</v>
      </c>
      <c r="H338" s="6" t="s">
        <v>20</v>
      </c>
      <c r="I338" s="5" t="s">
        <v>21</v>
      </c>
      <c r="J338" s="4" t="s">
        <v>22</v>
      </c>
      <c r="K338" s="2" t="s">
        <v>23</v>
      </c>
      <c r="L338" s="6" t="s">
        <v>24</v>
      </c>
      <c r="M338" s="5" t="s">
        <v>25</v>
      </c>
      <c r="N338" s="3" t="s">
        <v>26</v>
      </c>
      <c r="O338" s="5">
        <v>2</v>
      </c>
      <c r="P338" s="3" t="s">
        <v>23</v>
      </c>
      <c r="Q338" s="5"/>
    </row>
    <row r="339" spans="1:17" ht="139.5">
      <c r="A339" s="5">
        <v>334</v>
      </c>
      <c r="B339" s="6" t="s">
        <v>16</v>
      </c>
      <c r="C339" s="5" t="str">
        <f>HYPERLINK("http://data.overheid.nl/data/dataset/vegetatielegger-vegetatievlakken","Vegetatielegger vegetatievlakken")</f>
        <v>Vegetatielegger vegetatievlakken</v>
      </c>
      <c r="D339" s="6" t="s">
        <v>17</v>
      </c>
      <c r="E339" s="5" t="s">
        <v>18</v>
      </c>
      <c r="F339" s="6" t="s">
        <v>813</v>
      </c>
      <c r="G339" s="5" t="s">
        <v>271</v>
      </c>
      <c r="H339" s="6" t="s">
        <v>28</v>
      </c>
      <c r="I339" s="5" t="s">
        <v>21</v>
      </c>
      <c r="J339" s="4" t="s">
        <v>22</v>
      </c>
      <c r="K339" s="2" t="s">
        <v>23</v>
      </c>
      <c r="L339" s="6" t="s">
        <v>24</v>
      </c>
      <c r="M339" s="5" t="s">
        <v>25</v>
      </c>
      <c r="N339" s="3" t="s">
        <v>26</v>
      </c>
      <c r="O339" s="5">
        <v>2</v>
      </c>
      <c r="P339" s="3" t="s">
        <v>23</v>
      </c>
      <c r="Q339" s="5"/>
    </row>
    <row r="340" spans="1:17" ht="139.5">
      <c r="A340" s="5">
        <v>335</v>
      </c>
      <c r="B340" s="6" t="s">
        <v>16</v>
      </c>
      <c r="C340" s="5" t="str">
        <f>HYPERLINK("http://data.overheid.nl/data/dataset/vegetatielegger-heggen","Vegetatielegger heggen")</f>
        <v>Vegetatielegger heggen</v>
      </c>
      <c r="D340" s="6" t="s">
        <v>17</v>
      </c>
      <c r="E340" s="5" t="s">
        <v>18</v>
      </c>
      <c r="F340" s="6" t="s">
        <v>813</v>
      </c>
      <c r="G340" s="5" t="s">
        <v>272</v>
      </c>
      <c r="H340" s="6" t="s">
        <v>20</v>
      </c>
      <c r="I340" s="5" t="s">
        <v>21</v>
      </c>
      <c r="J340" s="4" t="s">
        <v>22</v>
      </c>
      <c r="K340" s="2" t="s">
        <v>23</v>
      </c>
      <c r="L340" s="6" t="s">
        <v>24</v>
      </c>
      <c r="M340" s="5" t="s">
        <v>25</v>
      </c>
      <c r="N340" s="3" t="s">
        <v>26</v>
      </c>
      <c r="O340" s="5">
        <v>2</v>
      </c>
      <c r="P340" s="3" t="s">
        <v>23</v>
      </c>
      <c r="Q340" s="5"/>
    </row>
    <row r="341" spans="1:17" ht="139.5">
      <c r="A341" s="5">
        <v>336</v>
      </c>
      <c r="B341" s="6" t="s">
        <v>16</v>
      </c>
      <c r="C341" s="5" t="str">
        <f>HYPERLINK("http://data.overheid.nl/data/dataset/vegetatielegger-bomen","Vegetatielegger bomen")</f>
        <v>Vegetatielegger bomen</v>
      </c>
      <c r="D341" s="6" t="s">
        <v>17</v>
      </c>
      <c r="E341" s="5" t="s">
        <v>18</v>
      </c>
      <c r="F341" s="6" t="s">
        <v>813</v>
      </c>
      <c r="G341" s="5" t="s">
        <v>273</v>
      </c>
      <c r="H341" s="6" t="s">
        <v>28</v>
      </c>
      <c r="I341" s="5" t="s">
        <v>21</v>
      </c>
      <c r="J341" s="4" t="s">
        <v>22</v>
      </c>
      <c r="K341" s="2" t="s">
        <v>23</v>
      </c>
      <c r="L341" s="6" t="s">
        <v>24</v>
      </c>
      <c r="M341" s="5" t="s">
        <v>25</v>
      </c>
      <c r="N341" s="3" t="s">
        <v>26</v>
      </c>
      <c r="O341" s="5">
        <v>2</v>
      </c>
      <c r="P341" s="3" t="s">
        <v>23</v>
      </c>
      <c r="Q341" s="5"/>
    </row>
    <row r="342" spans="1:17" ht="31">
      <c r="A342" s="5">
        <v>337</v>
      </c>
      <c r="B342" s="6" t="s">
        <v>16</v>
      </c>
      <c r="C342" s="5" t="str">
        <f>HYPERLINK("http://data.overheid.nl/data/dataset/zuiderzeewerken-polders","Zuiderzeewerken polders")</f>
        <v>Zuiderzeewerken polders</v>
      </c>
      <c r="D342" s="6" t="s">
        <v>17</v>
      </c>
      <c r="E342" s="5" t="s">
        <v>18</v>
      </c>
      <c r="F342" s="6" t="s">
        <v>813</v>
      </c>
      <c r="G342" s="5" t="s">
        <v>274</v>
      </c>
      <c r="H342" s="6" t="s">
        <v>28</v>
      </c>
      <c r="I342" s="5" t="s">
        <v>21</v>
      </c>
      <c r="J342" s="4" t="s">
        <v>22</v>
      </c>
      <c r="K342" s="2" t="s">
        <v>23</v>
      </c>
      <c r="L342" s="6" t="s">
        <v>24</v>
      </c>
      <c r="M342" s="5" t="s">
        <v>25</v>
      </c>
      <c r="N342" s="3" t="s">
        <v>26</v>
      </c>
      <c r="O342" s="5">
        <v>2</v>
      </c>
      <c r="P342" s="3" t="s">
        <v>23</v>
      </c>
      <c r="Q342" s="5"/>
    </row>
    <row r="343" spans="1:17" ht="31">
      <c r="A343" s="5">
        <v>338</v>
      </c>
      <c r="B343" s="6" t="s">
        <v>16</v>
      </c>
      <c r="C343" s="5" t="str">
        <f>HYPERLINK("http://data.overheid.nl/data/dataset/zuiderzeewerken-dijken","Zuiderzeewerken dijken")</f>
        <v>Zuiderzeewerken dijken</v>
      </c>
      <c r="D343" s="6" t="s">
        <v>17</v>
      </c>
      <c r="E343" s="5" t="s">
        <v>18</v>
      </c>
      <c r="F343" s="6" t="s">
        <v>813</v>
      </c>
      <c r="G343" s="5" t="s">
        <v>274</v>
      </c>
      <c r="H343" s="6" t="s">
        <v>20</v>
      </c>
      <c r="I343" s="5" t="s">
        <v>21</v>
      </c>
      <c r="J343" s="4" t="s">
        <v>22</v>
      </c>
      <c r="K343" s="2" t="s">
        <v>23</v>
      </c>
      <c r="L343" s="6" t="s">
        <v>24</v>
      </c>
      <c r="M343" s="5" t="s">
        <v>25</v>
      </c>
      <c r="N343" s="3" t="s">
        <v>26</v>
      </c>
      <c r="O343" s="5">
        <v>2</v>
      </c>
      <c r="P343" s="3" t="s">
        <v>23</v>
      </c>
      <c r="Q343" s="5"/>
    </row>
    <row r="344" spans="1:17" ht="46.5">
      <c r="A344" s="5">
        <v>339</v>
      </c>
      <c r="B344" s="6" t="s">
        <v>16</v>
      </c>
      <c r="C344" s="5" t="str">
        <f>HYPERLINK("http://data.overheid.nl/data/dataset/orthofotomozaiek-texel-nord-holland-kwelders-falsecolor-2011-ecw","Orthofotomozaiek_Texel_Nord_Holland_Kwelders_Falsecolor_2011.ecw")</f>
        <v>Orthofotomozaiek_Texel_Nord_Holland_Kwelders_Falsecolor_2011.ecw</v>
      </c>
      <c r="D344" s="6" t="s">
        <v>17</v>
      </c>
      <c r="E344" s="5" t="s">
        <v>18</v>
      </c>
      <c r="F344" s="6" t="s">
        <v>813</v>
      </c>
      <c r="G344" s="5" t="s">
        <v>275</v>
      </c>
      <c r="H344" s="6" t="s">
        <v>20</v>
      </c>
      <c r="I344" s="5" t="s">
        <v>21</v>
      </c>
      <c r="J344" s="4" t="s">
        <v>22</v>
      </c>
      <c r="K344" s="2" t="s">
        <v>23</v>
      </c>
      <c r="L344" s="6" t="s">
        <v>24</v>
      </c>
      <c r="M344" s="5" t="s">
        <v>25</v>
      </c>
      <c r="N344" s="3" t="s">
        <v>26</v>
      </c>
      <c r="O344" s="5">
        <v>2</v>
      </c>
      <c r="P344" s="3" t="s">
        <v>23</v>
      </c>
      <c r="Q344" s="5"/>
    </row>
    <row r="345" spans="1:17" ht="46.5">
      <c r="A345" s="5">
        <v>340</v>
      </c>
      <c r="B345" s="6" t="s">
        <v>16</v>
      </c>
      <c r="C345" s="5" t="str">
        <f>HYPERLINK("http://data.overheid.nl/data/dataset/orthofotomozaiek-texel-kwelders-slufter-falsecolor-2011-ecw","Orthofotomozaiek_Texel_Kwelders_Slufter_Falsecolor_2011.ecw")</f>
        <v>Orthofotomozaiek_Texel_Kwelders_Slufter_Falsecolor_2011.ecw</v>
      </c>
      <c r="D345" s="6" t="s">
        <v>17</v>
      </c>
      <c r="E345" s="5" t="s">
        <v>18</v>
      </c>
      <c r="F345" s="6" t="s">
        <v>813</v>
      </c>
      <c r="G345" s="5" t="s">
        <v>276</v>
      </c>
      <c r="H345" s="6" t="s">
        <v>20</v>
      </c>
      <c r="I345" s="5" t="s">
        <v>21</v>
      </c>
      <c r="J345" s="4" t="s">
        <v>22</v>
      </c>
      <c r="K345" s="2" t="s">
        <v>23</v>
      </c>
      <c r="L345" s="6" t="s">
        <v>24</v>
      </c>
      <c r="M345" s="5" t="s">
        <v>25</v>
      </c>
      <c r="N345" s="3" t="s">
        <v>26</v>
      </c>
      <c r="O345" s="5">
        <v>2</v>
      </c>
      <c r="P345" s="3" t="s">
        <v>23</v>
      </c>
      <c r="Q345" s="5"/>
    </row>
    <row r="346" spans="1:17" ht="108.5">
      <c r="A346" s="5">
        <v>341</v>
      </c>
      <c r="B346" s="6" t="s">
        <v>16</v>
      </c>
      <c r="C346" s="5" t="str">
        <f>HYPERLINK("http://data.overheid.nl/data/dataset/mirt-2011-vlakken","MIRT 2011 vlakken")</f>
        <v>MIRT 2011 vlakken</v>
      </c>
      <c r="D346" s="6" t="s">
        <v>17</v>
      </c>
      <c r="E346" s="5" t="s">
        <v>18</v>
      </c>
      <c r="F346" s="6" t="s">
        <v>813</v>
      </c>
      <c r="G346" s="5" t="s">
        <v>277</v>
      </c>
      <c r="H346" s="6" t="s">
        <v>20</v>
      </c>
      <c r="I346" s="5" t="s">
        <v>21</v>
      </c>
      <c r="J346" s="4" t="s">
        <v>22</v>
      </c>
      <c r="K346" s="2" t="s">
        <v>23</v>
      </c>
      <c r="L346" s="6" t="s">
        <v>24</v>
      </c>
      <c r="M346" s="5" t="s">
        <v>25</v>
      </c>
      <c r="N346" s="3" t="s">
        <v>26</v>
      </c>
      <c r="O346" s="5">
        <v>6</v>
      </c>
      <c r="P346" s="3" t="s">
        <v>23</v>
      </c>
      <c r="Q346" s="5"/>
    </row>
    <row r="347" spans="1:17" ht="108.5">
      <c r="A347" s="5">
        <v>342</v>
      </c>
      <c r="B347" s="6" t="s">
        <v>16</v>
      </c>
      <c r="C347" s="5" t="str">
        <f>HYPERLINK("http://data.overheid.nl/data/dataset/mirt-2011-punten","MIRT 2011 punten")</f>
        <v>MIRT 2011 punten</v>
      </c>
      <c r="D347" s="6" t="s">
        <v>17</v>
      </c>
      <c r="E347" s="5" t="s">
        <v>18</v>
      </c>
      <c r="F347" s="6" t="s">
        <v>813</v>
      </c>
      <c r="G347" s="5" t="s">
        <v>277</v>
      </c>
      <c r="H347" s="6" t="s">
        <v>20</v>
      </c>
      <c r="I347" s="5" t="s">
        <v>21</v>
      </c>
      <c r="J347" s="4" t="s">
        <v>22</v>
      </c>
      <c r="K347" s="2" t="s">
        <v>23</v>
      </c>
      <c r="L347" s="6" t="s">
        <v>24</v>
      </c>
      <c r="M347" s="5" t="s">
        <v>25</v>
      </c>
      <c r="N347" s="3" t="s">
        <v>26</v>
      </c>
      <c r="O347" s="5">
        <v>6</v>
      </c>
      <c r="P347" s="3" t="s">
        <v>23</v>
      </c>
      <c r="Q347" s="5"/>
    </row>
    <row r="348" spans="1:17" ht="108.5">
      <c r="A348" s="5">
        <v>343</v>
      </c>
      <c r="B348" s="6" t="s">
        <v>16</v>
      </c>
      <c r="C348" s="5" t="str">
        <f>HYPERLINK("http://data.overheid.nl/data/dataset/mirt-2011-points-of-interest","MIRT 2011 points of interest")</f>
        <v>MIRT 2011 points of interest</v>
      </c>
      <c r="D348" s="6" t="s">
        <v>17</v>
      </c>
      <c r="E348" s="5" t="s">
        <v>18</v>
      </c>
      <c r="F348" s="6" t="s">
        <v>813</v>
      </c>
      <c r="G348" s="5" t="s">
        <v>277</v>
      </c>
      <c r="H348" s="6" t="s">
        <v>20</v>
      </c>
      <c r="I348" s="5" t="s">
        <v>21</v>
      </c>
      <c r="J348" s="4" t="s">
        <v>22</v>
      </c>
      <c r="K348" s="2" t="s">
        <v>23</v>
      </c>
      <c r="L348" s="6" t="s">
        <v>24</v>
      </c>
      <c r="M348" s="5" t="s">
        <v>25</v>
      </c>
      <c r="N348" s="3" t="s">
        <v>26</v>
      </c>
      <c r="O348" s="5">
        <v>6</v>
      </c>
      <c r="P348" s="3" t="s">
        <v>23</v>
      </c>
      <c r="Q348" s="5"/>
    </row>
    <row r="349" spans="1:17" ht="108.5">
      <c r="A349" s="5">
        <v>344</v>
      </c>
      <c r="B349" s="6" t="s">
        <v>16</v>
      </c>
      <c r="C349" s="5" t="str">
        <f>HYPERLINK("http://data.overheid.nl/data/dataset/mirt-2011-lijnen","MIRT 2011 lijnen")</f>
        <v>MIRT 2011 lijnen</v>
      </c>
      <c r="D349" s="6" t="s">
        <v>17</v>
      </c>
      <c r="E349" s="5" t="s">
        <v>18</v>
      </c>
      <c r="F349" s="6" t="s">
        <v>813</v>
      </c>
      <c r="G349" s="5" t="s">
        <v>277</v>
      </c>
      <c r="H349" s="6" t="s">
        <v>20</v>
      </c>
      <c r="I349" s="5" t="s">
        <v>21</v>
      </c>
      <c r="J349" s="4" t="s">
        <v>22</v>
      </c>
      <c r="K349" s="2" t="s">
        <v>23</v>
      </c>
      <c r="L349" s="6" t="s">
        <v>24</v>
      </c>
      <c r="M349" s="5" t="s">
        <v>25</v>
      </c>
      <c r="N349" s="3" t="s">
        <v>26</v>
      </c>
      <c r="O349" s="5">
        <v>6</v>
      </c>
      <c r="P349" s="3" t="s">
        <v>23</v>
      </c>
      <c r="Q349" s="5"/>
    </row>
    <row r="350" spans="1:17" ht="31">
      <c r="A350" s="5">
        <v>345</v>
      </c>
      <c r="B350" s="6" t="s">
        <v>16</v>
      </c>
      <c r="C350" s="5" t="str">
        <f>HYPERLINK("http://data.overheid.nl/data/dataset/staande-mast-route-2015","Staande Mast Route 2015")</f>
        <v>Staande Mast Route 2015</v>
      </c>
      <c r="D350" s="6" t="s">
        <v>17</v>
      </c>
      <c r="E350" s="5" t="s">
        <v>18</v>
      </c>
      <c r="F350" s="6" t="s">
        <v>813</v>
      </c>
      <c r="G350" s="5" t="s">
        <v>278</v>
      </c>
      <c r="H350" s="6" t="s">
        <v>20</v>
      </c>
      <c r="I350" s="5" t="s">
        <v>21</v>
      </c>
      <c r="J350" s="4" t="s">
        <v>22</v>
      </c>
      <c r="K350" s="2" t="s">
        <v>23</v>
      </c>
      <c r="L350" s="6" t="s">
        <v>24</v>
      </c>
      <c r="M350" s="5" t="s">
        <v>25</v>
      </c>
      <c r="N350" s="3" t="s">
        <v>26</v>
      </c>
      <c r="O350" s="5">
        <v>2</v>
      </c>
      <c r="P350" s="3" t="s">
        <v>23</v>
      </c>
      <c r="Q350" s="5"/>
    </row>
    <row r="351" spans="1:17" ht="31">
      <c r="A351" s="5">
        <v>346</v>
      </c>
      <c r="B351" s="6" t="s">
        <v>16</v>
      </c>
      <c r="C351" s="5" t="str">
        <f>HYPERLINK("http://data.overheid.nl/data/dataset/vlakken-wegmeubilair-rws-dienst-noord-holland","Vlakken wegmeubilair RWS dienst Noord-Holland")</f>
        <v>Vlakken wegmeubilair RWS dienst Noord-Holland</v>
      </c>
      <c r="D351" s="6" t="s">
        <v>17</v>
      </c>
      <c r="E351" s="5" t="s">
        <v>18</v>
      </c>
      <c r="F351" s="6" t="s">
        <v>813</v>
      </c>
      <c r="G351" s="5" t="s">
        <v>255</v>
      </c>
      <c r="H351" s="6" t="s">
        <v>20</v>
      </c>
      <c r="I351" s="5" t="s">
        <v>21</v>
      </c>
      <c r="J351" s="4" t="s">
        <v>22</v>
      </c>
      <c r="K351" s="2" t="s">
        <v>23</v>
      </c>
      <c r="L351" s="6" t="s">
        <v>24</v>
      </c>
      <c r="M351" s="5" t="s">
        <v>25</v>
      </c>
      <c r="N351" s="3" t="s">
        <v>26</v>
      </c>
      <c r="O351" s="5">
        <v>2</v>
      </c>
      <c r="P351" s="3" t="s">
        <v>23</v>
      </c>
      <c r="Q351" s="5"/>
    </row>
    <row r="352" spans="1:17" ht="77.5">
      <c r="A352" s="5">
        <v>347</v>
      </c>
      <c r="B352" s="6" t="s">
        <v>16</v>
      </c>
      <c r="C352" s="5" t="str">
        <f>HYPERLINK("http://data.overheid.nl/data/dataset/vlakken-waterafvoer-rws-dienst-noord-holland","Vlakken waterafvoer RWS dienst Noord-Holland")</f>
        <v>Vlakken waterafvoer RWS dienst Noord-Holland</v>
      </c>
      <c r="D352" s="6" t="s">
        <v>17</v>
      </c>
      <c r="E352" s="5" t="s">
        <v>18</v>
      </c>
      <c r="F352" s="6" t="s">
        <v>813</v>
      </c>
      <c r="G352" s="2" t="s">
        <v>256</v>
      </c>
      <c r="H352" s="6" t="s">
        <v>20</v>
      </c>
      <c r="I352" s="5" t="s">
        <v>21</v>
      </c>
      <c r="J352" s="4" t="s">
        <v>22</v>
      </c>
      <c r="K352" s="2" t="s">
        <v>23</v>
      </c>
      <c r="L352" s="6" t="s">
        <v>24</v>
      </c>
      <c r="M352" s="5" t="s">
        <v>25</v>
      </c>
      <c r="N352" s="3" t="s">
        <v>26</v>
      </c>
      <c r="O352" s="5">
        <v>2</v>
      </c>
      <c r="P352" s="3" t="s">
        <v>23</v>
      </c>
      <c r="Q352" s="5"/>
    </row>
    <row r="353" spans="1:17" ht="31">
      <c r="A353" s="5">
        <v>348</v>
      </c>
      <c r="B353" s="6" t="s">
        <v>16</v>
      </c>
      <c r="C353" s="5" t="str">
        <f>HYPERLINK("http://data.overheid.nl/data/dataset/vlakken-terrein-rws-dienst-noord-holland","Vlakken terrein RWS dienst Noord-Holland")</f>
        <v>Vlakken terrein RWS dienst Noord-Holland</v>
      </c>
      <c r="D353" s="6" t="s">
        <v>17</v>
      </c>
      <c r="E353" s="5" t="s">
        <v>18</v>
      </c>
      <c r="F353" s="6" t="s">
        <v>813</v>
      </c>
      <c r="G353" s="5" t="s">
        <v>257</v>
      </c>
      <c r="H353" s="6" t="s">
        <v>20</v>
      </c>
      <c r="I353" s="5" t="s">
        <v>21</v>
      </c>
      <c r="J353" s="4" t="s">
        <v>22</v>
      </c>
      <c r="K353" s="2" t="s">
        <v>23</v>
      </c>
      <c r="L353" s="6" t="s">
        <v>24</v>
      </c>
      <c r="M353" s="5" t="s">
        <v>25</v>
      </c>
      <c r="N353" s="3" t="s">
        <v>26</v>
      </c>
      <c r="O353" s="5">
        <v>2</v>
      </c>
      <c r="P353" s="3" t="s">
        <v>23</v>
      </c>
      <c r="Q353" s="5"/>
    </row>
    <row r="354" spans="1:17" ht="31">
      <c r="A354" s="5">
        <v>349</v>
      </c>
      <c r="B354" s="6" t="s">
        <v>16</v>
      </c>
      <c r="C354" s="5" t="str">
        <f>HYPERLINK("http://data.overheid.nl/data/dataset/vlakken-projecten-rws-dienst-noord-holland","Vlakken projecten RWS dienst Noord-Holland")</f>
        <v>Vlakken projecten RWS dienst Noord-Holland</v>
      </c>
      <c r="D354" s="6" t="s">
        <v>17</v>
      </c>
      <c r="E354" s="5" t="s">
        <v>18</v>
      </c>
      <c r="F354" s="6" t="s">
        <v>813</v>
      </c>
      <c r="G354" s="5" t="s">
        <v>279</v>
      </c>
      <c r="H354" s="6" t="s">
        <v>20</v>
      </c>
      <c r="I354" s="5" t="s">
        <v>21</v>
      </c>
      <c r="J354" s="4" t="s">
        <v>22</v>
      </c>
      <c r="K354" s="2" t="s">
        <v>23</v>
      </c>
      <c r="L354" s="6" t="s">
        <v>24</v>
      </c>
      <c r="M354" s="5" t="s">
        <v>25</v>
      </c>
      <c r="N354" s="3" t="s">
        <v>26</v>
      </c>
      <c r="O354" s="5">
        <v>2</v>
      </c>
      <c r="P354" s="3" t="s">
        <v>23</v>
      </c>
      <c r="Q354" s="5"/>
    </row>
    <row r="355" spans="1:17" ht="31">
      <c r="A355" s="5">
        <v>350</v>
      </c>
      <c r="B355" s="6" t="s">
        <v>16</v>
      </c>
      <c r="C355" s="5" t="str">
        <f>HYPERLINK("http://data.overheid.nl/data/dataset/vlakken-kunstwerk-rws-dienst-noord-holland","Vlakken kunstwerk RWS dienst Noord-Holland")</f>
        <v>Vlakken kunstwerk RWS dienst Noord-Holland</v>
      </c>
      <c r="D355" s="6" t="s">
        <v>17</v>
      </c>
      <c r="E355" s="5" t="s">
        <v>18</v>
      </c>
      <c r="F355" s="6" t="s">
        <v>813</v>
      </c>
      <c r="G355" s="5" t="s">
        <v>280</v>
      </c>
      <c r="H355" s="6" t="s">
        <v>20</v>
      </c>
      <c r="I355" s="5" t="s">
        <v>21</v>
      </c>
      <c r="J355" s="4" t="s">
        <v>22</v>
      </c>
      <c r="K355" s="2" t="s">
        <v>23</v>
      </c>
      <c r="L355" s="6" t="s">
        <v>24</v>
      </c>
      <c r="M355" s="5" t="s">
        <v>25</v>
      </c>
      <c r="N355" s="3" t="s">
        <v>26</v>
      </c>
      <c r="O355" s="5">
        <v>2</v>
      </c>
      <c r="P355" s="3" t="s">
        <v>23</v>
      </c>
      <c r="Q355" s="5"/>
    </row>
    <row r="356" spans="1:17" ht="31">
      <c r="A356" s="5">
        <v>351</v>
      </c>
      <c r="B356" s="6" t="s">
        <v>16</v>
      </c>
      <c r="C356" s="5" t="str">
        <f>HYPERLINK("http://data.overheid.nl/data/dataset/vlakken-gebouw-installaties-rws-dienst-noord-holland","Vlakken gebouw installaties RWS dienst Noord-Holland")</f>
        <v>Vlakken gebouw installaties RWS dienst Noord-Holland</v>
      </c>
      <c r="D356" s="6" t="s">
        <v>17</v>
      </c>
      <c r="E356" s="5" t="s">
        <v>18</v>
      </c>
      <c r="F356" s="6" t="s">
        <v>813</v>
      </c>
      <c r="G356" s="5" t="s">
        <v>258</v>
      </c>
      <c r="H356" s="6" t="s">
        <v>20</v>
      </c>
      <c r="I356" s="5" t="s">
        <v>21</v>
      </c>
      <c r="J356" s="4" t="s">
        <v>22</v>
      </c>
      <c r="K356" s="2" t="s">
        <v>23</v>
      </c>
      <c r="L356" s="6" t="s">
        <v>24</v>
      </c>
      <c r="M356" s="5" t="s">
        <v>25</v>
      </c>
      <c r="N356" s="3" t="s">
        <v>26</v>
      </c>
      <c r="O356" s="5">
        <v>2</v>
      </c>
      <c r="P356" s="3" t="s">
        <v>23</v>
      </c>
      <c r="Q356" s="5"/>
    </row>
    <row r="357" spans="1:17" ht="31">
      <c r="A357" s="5">
        <v>352</v>
      </c>
      <c r="B357" s="6" t="s">
        <v>16</v>
      </c>
      <c r="C357" s="5" t="str">
        <f>HYPERLINK("http://data.overheid.nl/data/dataset/vlakken-beheersituatie-rws-dienst-noord-holland","Vlakken beheersituatie RWS dienst Noord-Holland")</f>
        <v>Vlakken beheersituatie RWS dienst Noord-Holland</v>
      </c>
      <c r="D357" s="6" t="s">
        <v>17</v>
      </c>
      <c r="E357" s="5" t="s">
        <v>18</v>
      </c>
      <c r="F357" s="6" t="s">
        <v>813</v>
      </c>
      <c r="G357" s="5" t="s">
        <v>281</v>
      </c>
      <c r="H357" s="6" t="s">
        <v>20</v>
      </c>
      <c r="I357" s="5" t="s">
        <v>21</v>
      </c>
      <c r="J357" s="4" t="s">
        <v>22</v>
      </c>
      <c r="K357" s="2" t="s">
        <v>23</v>
      </c>
      <c r="L357" s="6" t="s">
        <v>24</v>
      </c>
      <c r="M357" s="5" t="s">
        <v>25</v>
      </c>
      <c r="N357" s="3" t="s">
        <v>26</v>
      </c>
      <c r="O357" s="5">
        <v>2</v>
      </c>
      <c r="P357" s="3" t="s">
        <v>23</v>
      </c>
      <c r="Q357" s="5"/>
    </row>
    <row r="358" spans="1:17" ht="31">
      <c r="A358" s="5">
        <v>353</v>
      </c>
      <c r="B358" s="6" t="s">
        <v>16</v>
      </c>
      <c r="C358" s="5" t="str">
        <f>HYPERLINK("http://data.overheid.nl/data/dataset/verharding-vlakken-rws-dienst-noord-holland","verharding vlakken RWS dienst Noord-Holland")</f>
        <v>verharding vlakken RWS dienst Noord-Holland</v>
      </c>
      <c r="D358" s="6" t="s">
        <v>17</v>
      </c>
      <c r="E358" s="5" t="s">
        <v>18</v>
      </c>
      <c r="F358" s="6" t="s">
        <v>813</v>
      </c>
      <c r="G358" s="5" t="s">
        <v>282</v>
      </c>
      <c r="H358" s="6" t="s">
        <v>20</v>
      </c>
      <c r="I358" s="5" t="s">
        <v>21</v>
      </c>
      <c r="J358" s="4" t="s">
        <v>22</v>
      </c>
      <c r="K358" s="2" t="s">
        <v>23</v>
      </c>
      <c r="L358" s="6" t="s">
        <v>24</v>
      </c>
      <c r="M358" s="5" t="s">
        <v>25</v>
      </c>
      <c r="N358" s="3" t="s">
        <v>26</v>
      </c>
      <c r="O358" s="5">
        <v>2</v>
      </c>
      <c r="P358" s="3" t="s">
        <v>23</v>
      </c>
      <c r="Q358" s="5"/>
    </row>
    <row r="359" spans="1:17" ht="31">
      <c r="A359" s="5">
        <v>354</v>
      </c>
      <c r="B359" s="6" t="s">
        <v>16</v>
      </c>
      <c r="C359" s="5" t="str">
        <f>HYPERLINK("http://data.overheid.nl/data/dataset/punten-waterafvoer-rws-dienst-noord-holland","Punten waterafvoer RWS dienst Noord-Holland")</f>
        <v>Punten waterafvoer RWS dienst Noord-Holland</v>
      </c>
      <c r="D359" s="6" t="s">
        <v>17</v>
      </c>
      <c r="E359" s="5" t="s">
        <v>18</v>
      </c>
      <c r="F359" s="6" t="s">
        <v>813</v>
      </c>
      <c r="G359" s="5" t="s">
        <v>260</v>
      </c>
      <c r="H359" s="6" t="s">
        <v>20</v>
      </c>
      <c r="I359" s="5" t="s">
        <v>21</v>
      </c>
      <c r="J359" s="4" t="s">
        <v>22</v>
      </c>
      <c r="K359" s="2" t="s">
        <v>23</v>
      </c>
      <c r="L359" s="6" t="s">
        <v>24</v>
      </c>
      <c r="M359" s="5" t="s">
        <v>25</v>
      </c>
      <c r="N359" s="3" t="s">
        <v>26</v>
      </c>
      <c r="O359" s="5">
        <v>2</v>
      </c>
      <c r="P359" s="3" t="s">
        <v>23</v>
      </c>
      <c r="Q359" s="5"/>
    </row>
    <row r="360" spans="1:17" ht="31">
      <c r="A360" s="5">
        <v>355</v>
      </c>
      <c r="B360" s="6" t="s">
        <v>16</v>
      </c>
      <c r="C360" s="5" t="str">
        <f>HYPERLINK("http://data.overheid.nl/data/dataset/punten-voorzieningen-rws-dienst-noord-holland","Punten voorzieningen RWS dienst Noord-Holland")</f>
        <v>Punten voorzieningen RWS dienst Noord-Holland</v>
      </c>
      <c r="D360" s="6" t="s">
        <v>17</v>
      </c>
      <c r="E360" s="5" t="s">
        <v>18</v>
      </c>
      <c r="F360" s="6" t="s">
        <v>813</v>
      </c>
      <c r="G360" s="5" t="s">
        <v>261</v>
      </c>
      <c r="H360" s="6" t="s">
        <v>20</v>
      </c>
      <c r="I360" s="5" t="s">
        <v>21</v>
      </c>
      <c r="J360" s="4" t="s">
        <v>22</v>
      </c>
      <c r="K360" s="2" t="s">
        <v>23</v>
      </c>
      <c r="L360" s="6" t="s">
        <v>24</v>
      </c>
      <c r="M360" s="5" t="s">
        <v>25</v>
      </c>
      <c r="N360" s="3" t="s">
        <v>26</v>
      </c>
      <c r="O360" s="5">
        <v>2</v>
      </c>
      <c r="P360" s="3" t="s">
        <v>23</v>
      </c>
      <c r="Q360" s="5"/>
    </row>
    <row r="361" spans="1:17" ht="31">
      <c r="A361" s="5">
        <v>356</v>
      </c>
      <c r="B361" s="6" t="s">
        <v>16</v>
      </c>
      <c r="C361" s="5" t="str">
        <f>HYPERLINK("http://data.overheid.nl/data/dataset/punten-markering-rws-dienst-noord-holland","Punten markering RWS dienst Noord-Holland")</f>
        <v>Punten markering RWS dienst Noord-Holland</v>
      </c>
      <c r="D361" s="6" t="s">
        <v>17</v>
      </c>
      <c r="E361" s="5" t="s">
        <v>18</v>
      </c>
      <c r="F361" s="6" t="s">
        <v>813</v>
      </c>
      <c r="G361" s="5" t="s">
        <v>262</v>
      </c>
      <c r="H361" s="6" t="s">
        <v>20</v>
      </c>
      <c r="I361" s="5" t="s">
        <v>21</v>
      </c>
      <c r="J361" s="4" t="s">
        <v>22</v>
      </c>
      <c r="K361" s="2" t="s">
        <v>23</v>
      </c>
      <c r="L361" s="6" t="s">
        <v>24</v>
      </c>
      <c r="M361" s="5" t="s">
        <v>25</v>
      </c>
      <c r="N361" s="3" t="s">
        <v>26</v>
      </c>
      <c r="O361" s="5">
        <v>2</v>
      </c>
      <c r="P361" s="3" t="s">
        <v>23</v>
      </c>
      <c r="Q361" s="5"/>
    </row>
    <row r="362" spans="1:17" ht="31">
      <c r="A362" s="5">
        <v>357</v>
      </c>
      <c r="B362" s="6" t="s">
        <v>16</v>
      </c>
      <c r="C362" s="5" t="str">
        <f>HYPERLINK("http://data.overheid.nl/data/dataset/punten-lichtmast-rws-dienst-noord-holland","Punten lichtmast RWS dienst Noord-Holland")</f>
        <v>Punten lichtmast RWS dienst Noord-Holland</v>
      </c>
      <c r="D362" s="6" t="s">
        <v>17</v>
      </c>
      <c r="E362" s="5" t="s">
        <v>18</v>
      </c>
      <c r="F362" s="6" t="s">
        <v>813</v>
      </c>
      <c r="G362" s="5" t="s">
        <v>283</v>
      </c>
      <c r="H362" s="6" t="s">
        <v>20</v>
      </c>
      <c r="I362" s="5" t="s">
        <v>21</v>
      </c>
      <c r="J362" s="4" t="s">
        <v>22</v>
      </c>
      <c r="K362" s="2" t="s">
        <v>23</v>
      </c>
      <c r="L362" s="6" t="s">
        <v>24</v>
      </c>
      <c r="M362" s="5" t="s">
        <v>25</v>
      </c>
      <c r="N362" s="3" t="s">
        <v>26</v>
      </c>
      <c r="O362" s="5">
        <v>2</v>
      </c>
      <c r="P362" s="3" t="s">
        <v>23</v>
      </c>
      <c r="Q362" s="5"/>
    </row>
    <row r="363" spans="1:17" ht="31">
      <c r="A363" s="5">
        <v>358</v>
      </c>
      <c r="B363" s="6" t="s">
        <v>16</v>
      </c>
      <c r="C363" s="5" t="str">
        <f>HYPERLINK("http://data.overheid.nl/data/dataset/punten-kunstwerken-rws-dienst-noord-holland","Punten kunstwerken RWS dienst Noord-Holland")</f>
        <v>Punten kunstwerken RWS dienst Noord-Holland</v>
      </c>
      <c r="D363" s="6" t="s">
        <v>17</v>
      </c>
      <c r="E363" s="5" t="s">
        <v>18</v>
      </c>
      <c r="F363" s="6" t="s">
        <v>813</v>
      </c>
      <c r="G363" s="5" t="s">
        <v>263</v>
      </c>
      <c r="H363" s="6" t="s">
        <v>20</v>
      </c>
      <c r="I363" s="5" t="s">
        <v>21</v>
      </c>
      <c r="J363" s="4" t="s">
        <v>22</v>
      </c>
      <c r="K363" s="2" t="s">
        <v>23</v>
      </c>
      <c r="L363" s="6" t="s">
        <v>24</v>
      </c>
      <c r="M363" s="5" t="s">
        <v>25</v>
      </c>
      <c r="N363" s="3" t="s">
        <v>26</v>
      </c>
      <c r="O363" s="5">
        <v>2</v>
      </c>
      <c r="P363" s="3" t="s">
        <v>23</v>
      </c>
      <c r="Q363" s="5"/>
    </row>
    <row r="364" spans="1:17" ht="31">
      <c r="A364" s="5">
        <v>359</v>
      </c>
      <c r="B364" s="6" t="s">
        <v>16</v>
      </c>
      <c r="C364" s="5" t="str">
        <f>HYPERLINK("http://data.overheid.nl/data/dataset/punten-hectometerborden-rws-dienst-noord-holland","Punten hectometerborden RWS dienst Noord-Holland")</f>
        <v>Punten hectometerborden RWS dienst Noord-Holland</v>
      </c>
      <c r="D364" s="6" t="s">
        <v>17</v>
      </c>
      <c r="E364" s="5" t="s">
        <v>18</v>
      </c>
      <c r="F364" s="6" t="s">
        <v>813</v>
      </c>
      <c r="G364" s="5" t="s">
        <v>284</v>
      </c>
      <c r="H364" s="6" t="s">
        <v>20</v>
      </c>
      <c r="I364" s="5" t="s">
        <v>21</v>
      </c>
      <c r="J364" s="4" t="s">
        <v>22</v>
      </c>
      <c r="K364" s="2" t="s">
        <v>23</v>
      </c>
      <c r="L364" s="6" t="s">
        <v>24</v>
      </c>
      <c r="M364" s="5" t="s">
        <v>25</v>
      </c>
      <c r="N364" s="3" t="s">
        <v>26</v>
      </c>
      <c r="O364" s="5">
        <v>2</v>
      </c>
      <c r="P364" s="3" t="s">
        <v>23</v>
      </c>
      <c r="Q364" s="5"/>
    </row>
    <row r="365" spans="1:17" ht="31">
      <c r="A365" s="5">
        <v>360</v>
      </c>
      <c r="B365" s="6" t="s">
        <v>16</v>
      </c>
      <c r="C365" s="5" t="str">
        <f>HYPERLINK("http://data.overheid.nl/data/dataset/punten-groen-rws-dienst-noord-holland","Punten groen RWS dienst Noord-Holland")</f>
        <v>Punten groen RWS dienst Noord-Holland</v>
      </c>
      <c r="D365" s="6" t="s">
        <v>17</v>
      </c>
      <c r="E365" s="5" t="s">
        <v>18</v>
      </c>
      <c r="F365" s="6" t="s">
        <v>813</v>
      </c>
      <c r="G365" s="5" t="s">
        <v>285</v>
      </c>
      <c r="H365" s="6" t="s">
        <v>20</v>
      </c>
      <c r="I365" s="5" t="s">
        <v>21</v>
      </c>
      <c r="J365" s="4" t="s">
        <v>22</v>
      </c>
      <c r="K365" s="2" t="s">
        <v>23</v>
      </c>
      <c r="L365" s="6" t="s">
        <v>24</v>
      </c>
      <c r="M365" s="5" t="s">
        <v>25</v>
      </c>
      <c r="N365" s="3" t="s">
        <v>26</v>
      </c>
      <c r="O365" s="5">
        <v>2</v>
      </c>
      <c r="P365" s="3" t="s">
        <v>23</v>
      </c>
      <c r="Q365" s="5"/>
    </row>
    <row r="366" spans="1:17" ht="31">
      <c r="A366" s="5">
        <v>361</v>
      </c>
      <c r="B366" s="6" t="s">
        <v>16</v>
      </c>
      <c r="C366" s="5" t="str">
        <f>HYPERLINK("http://data.overheid.nl/data/dataset/markering-vlakken-rws-dienst-noord-holland","markering vlakken RWS dienst Noord-Holland")</f>
        <v>markering vlakken RWS dienst Noord-Holland</v>
      </c>
      <c r="D366" s="6" t="s">
        <v>17</v>
      </c>
      <c r="E366" s="5" t="s">
        <v>18</v>
      </c>
      <c r="F366" s="6" t="s">
        <v>813</v>
      </c>
      <c r="G366" s="5" t="s">
        <v>264</v>
      </c>
      <c r="H366" s="6" t="s">
        <v>20</v>
      </c>
      <c r="I366" s="5" t="s">
        <v>21</v>
      </c>
      <c r="J366" s="4" t="s">
        <v>22</v>
      </c>
      <c r="K366" s="2" t="s">
        <v>23</v>
      </c>
      <c r="L366" s="6" t="s">
        <v>24</v>
      </c>
      <c r="M366" s="5" t="s">
        <v>25</v>
      </c>
      <c r="N366" s="3" t="s">
        <v>26</v>
      </c>
      <c r="O366" s="5">
        <v>2</v>
      </c>
      <c r="P366" s="3" t="s">
        <v>23</v>
      </c>
      <c r="Q366" s="5"/>
    </row>
    <row r="367" spans="1:17" ht="31">
      <c r="A367" s="5">
        <v>362</v>
      </c>
      <c r="B367" s="6" t="s">
        <v>16</v>
      </c>
      <c r="C367" s="5" t="str">
        <f>HYPERLINK("http://data.overheid.nl/data/dataset/lijnen-wegmeubilair-rws-dienst-noord-holland","Lijnen wegmeubilair RWS dienst Noord-Holland")</f>
        <v>Lijnen wegmeubilair RWS dienst Noord-Holland</v>
      </c>
      <c r="D367" s="6" t="s">
        <v>17</v>
      </c>
      <c r="E367" s="5" t="s">
        <v>18</v>
      </c>
      <c r="F367" s="6" t="s">
        <v>813</v>
      </c>
      <c r="G367" s="5" t="s">
        <v>265</v>
      </c>
      <c r="H367" s="6" t="s">
        <v>20</v>
      </c>
      <c r="I367" s="5" t="s">
        <v>21</v>
      </c>
      <c r="J367" s="4" t="s">
        <v>22</v>
      </c>
      <c r="K367" s="2" t="s">
        <v>23</v>
      </c>
      <c r="L367" s="6" t="s">
        <v>24</v>
      </c>
      <c r="M367" s="5" t="s">
        <v>25</v>
      </c>
      <c r="N367" s="3" t="s">
        <v>26</v>
      </c>
      <c r="O367" s="5">
        <v>2</v>
      </c>
      <c r="P367" s="3" t="s">
        <v>23</v>
      </c>
      <c r="Q367" s="5"/>
    </row>
    <row r="368" spans="1:17" ht="77.5">
      <c r="A368" s="5">
        <v>363</v>
      </c>
      <c r="B368" s="6" t="s">
        <v>16</v>
      </c>
      <c r="C368" s="5" t="str">
        <f>HYPERLINK("http://data.overheid.nl/data/dataset/lijnen-waterafvoer-rws-dienst-noord-holland","Lijnen waterafvoer RWS dienst Noord-Holland")</f>
        <v>Lijnen waterafvoer RWS dienst Noord-Holland</v>
      </c>
      <c r="D368" s="6" t="s">
        <v>17</v>
      </c>
      <c r="E368" s="5" t="s">
        <v>18</v>
      </c>
      <c r="F368" s="6" t="s">
        <v>813</v>
      </c>
      <c r="G368" s="2" t="s">
        <v>256</v>
      </c>
      <c r="H368" s="6" t="s">
        <v>20</v>
      </c>
      <c r="I368" s="5" t="s">
        <v>21</v>
      </c>
      <c r="J368" s="4" t="s">
        <v>22</v>
      </c>
      <c r="K368" s="2" t="s">
        <v>23</v>
      </c>
      <c r="L368" s="6" t="s">
        <v>24</v>
      </c>
      <c r="M368" s="5" t="s">
        <v>25</v>
      </c>
      <c r="N368" s="3" t="s">
        <v>26</v>
      </c>
      <c r="O368" s="5">
        <v>2</v>
      </c>
      <c r="P368" s="3" t="s">
        <v>23</v>
      </c>
      <c r="Q368" s="5"/>
    </row>
    <row r="369" spans="1:17" ht="31">
      <c r="A369" s="5">
        <v>364</v>
      </c>
      <c r="B369" s="6" t="s">
        <v>16</v>
      </c>
      <c r="C369" s="5" t="str">
        <f>HYPERLINK("http://data.overheid.nl/data/dataset/lijnen-openbare-verlichting-rws-dienst-noord-holland","Lijnen openbare verlichting RWS dienst Noord-Holland")</f>
        <v>Lijnen openbare verlichting RWS dienst Noord-Holland</v>
      </c>
      <c r="D369" s="6" t="s">
        <v>17</v>
      </c>
      <c r="E369" s="5" t="s">
        <v>18</v>
      </c>
      <c r="F369" s="6" t="s">
        <v>813</v>
      </c>
      <c r="G369" s="5" t="s">
        <v>266</v>
      </c>
      <c r="H369" s="6" t="s">
        <v>20</v>
      </c>
      <c r="I369" s="5" t="s">
        <v>21</v>
      </c>
      <c r="J369" s="4" t="s">
        <v>22</v>
      </c>
      <c r="K369" s="2" t="s">
        <v>23</v>
      </c>
      <c r="L369" s="6" t="s">
        <v>24</v>
      </c>
      <c r="M369" s="5" t="s">
        <v>25</v>
      </c>
      <c r="N369" s="3" t="s">
        <v>26</v>
      </c>
      <c r="O369" s="5">
        <v>2</v>
      </c>
      <c r="P369" s="3" t="s">
        <v>23</v>
      </c>
      <c r="Q369" s="5"/>
    </row>
    <row r="370" spans="1:17" ht="31">
      <c r="A370" s="5">
        <v>365</v>
      </c>
      <c r="B370" s="6" t="s">
        <v>16</v>
      </c>
      <c r="C370" s="5" t="str">
        <f>HYPERLINK("http://data.overheid.nl/data/dataset/lijnen-markering-rws-dienst-noord-nederland","Lijnen markering RWS dienst Noord-Nederland")</f>
        <v>Lijnen markering RWS dienst Noord-Nederland</v>
      </c>
      <c r="D370" s="6" t="s">
        <v>17</v>
      </c>
      <c r="E370" s="5" t="s">
        <v>18</v>
      </c>
      <c r="F370" s="6" t="s">
        <v>813</v>
      </c>
      <c r="G370" s="5" t="s">
        <v>286</v>
      </c>
      <c r="H370" s="6" t="s">
        <v>20</v>
      </c>
      <c r="I370" s="5" t="s">
        <v>21</v>
      </c>
      <c r="J370" s="4" t="s">
        <v>22</v>
      </c>
      <c r="K370" s="2" t="s">
        <v>23</v>
      </c>
      <c r="L370" s="6" t="s">
        <v>24</v>
      </c>
      <c r="M370" s="5" t="s">
        <v>25</v>
      </c>
      <c r="N370" s="3" t="s">
        <v>26</v>
      </c>
      <c r="O370" s="5">
        <v>2</v>
      </c>
      <c r="P370" s="3" t="s">
        <v>23</v>
      </c>
      <c r="Q370" s="5"/>
    </row>
    <row r="371" spans="1:17" ht="31">
      <c r="A371" s="5">
        <v>366</v>
      </c>
      <c r="B371" s="6" t="s">
        <v>16</v>
      </c>
      <c r="C371" s="5" t="str">
        <f>HYPERLINK("http://data.overheid.nl/data/dataset/lijnen-markering-rws-dienst-noord-holland","Lijnen markering RWS dienst Noord-Holland")</f>
        <v>Lijnen markering RWS dienst Noord-Holland</v>
      </c>
      <c r="D371" s="6" t="s">
        <v>17</v>
      </c>
      <c r="E371" s="5" t="s">
        <v>18</v>
      </c>
      <c r="F371" s="6" t="s">
        <v>813</v>
      </c>
      <c r="G371" s="5" t="s">
        <v>286</v>
      </c>
      <c r="H371" s="6" t="s">
        <v>20</v>
      </c>
      <c r="I371" s="5" t="s">
        <v>21</v>
      </c>
      <c r="J371" s="4" t="s">
        <v>22</v>
      </c>
      <c r="K371" s="2" t="s">
        <v>23</v>
      </c>
      <c r="L371" s="6" t="s">
        <v>24</v>
      </c>
      <c r="M371" s="5" t="s">
        <v>25</v>
      </c>
      <c r="N371" s="3" t="s">
        <v>26</v>
      </c>
      <c r="O371" s="5">
        <v>2</v>
      </c>
      <c r="P371" s="3" t="s">
        <v>23</v>
      </c>
      <c r="Q371" s="5"/>
    </row>
    <row r="372" spans="1:17" ht="31">
      <c r="A372" s="5">
        <v>367</v>
      </c>
      <c r="B372" s="6" t="s">
        <v>16</v>
      </c>
      <c r="C372" s="5" t="str">
        <f>HYPERLINK("http://data.overheid.nl/data/dataset/lijnen-kunstwerken-rws-dienst-noord-holland","Lijnen kunstwerken RWS dienst Noord-Holland")</f>
        <v>Lijnen kunstwerken RWS dienst Noord-Holland</v>
      </c>
      <c r="D372" s="6" t="s">
        <v>17</v>
      </c>
      <c r="E372" s="5" t="s">
        <v>18</v>
      </c>
      <c r="F372" s="6" t="s">
        <v>813</v>
      </c>
      <c r="G372" s="5" t="s">
        <v>267</v>
      </c>
      <c r="H372" s="6" t="s">
        <v>20</v>
      </c>
      <c r="I372" s="5" t="s">
        <v>21</v>
      </c>
      <c r="J372" s="4" t="s">
        <v>22</v>
      </c>
      <c r="K372" s="2" t="s">
        <v>23</v>
      </c>
      <c r="L372" s="6" t="s">
        <v>24</v>
      </c>
      <c r="M372" s="5" t="s">
        <v>25</v>
      </c>
      <c r="N372" s="3" t="s">
        <v>26</v>
      </c>
      <c r="O372" s="5">
        <v>2</v>
      </c>
      <c r="P372" s="3" t="s">
        <v>23</v>
      </c>
      <c r="Q372" s="5"/>
    </row>
    <row r="373" spans="1:17" ht="31">
      <c r="A373" s="5">
        <v>368</v>
      </c>
      <c r="B373" s="6" t="s">
        <v>16</v>
      </c>
      <c r="C373" s="5" t="str">
        <f>HYPERLINK("http://data.overheid.nl/data/dataset/lijnen-groen-rws-dienst-noord-holland","Lijnen groen RWS dienst Noord-Holland")</f>
        <v>Lijnen groen RWS dienst Noord-Holland</v>
      </c>
      <c r="D373" s="6" t="s">
        <v>17</v>
      </c>
      <c r="E373" s="5" t="s">
        <v>18</v>
      </c>
      <c r="F373" s="6" t="s">
        <v>813</v>
      </c>
      <c r="G373" s="5" t="s">
        <v>287</v>
      </c>
      <c r="H373" s="6" t="s">
        <v>20</v>
      </c>
      <c r="I373" s="5" t="s">
        <v>21</v>
      </c>
      <c r="J373" s="4" t="s">
        <v>22</v>
      </c>
      <c r="K373" s="2" t="s">
        <v>23</v>
      </c>
      <c r="L373" s="6" t="s">
        <v>24</v>
      </c>
      <c r="M373" s="5" t="s">
        <v>25</v>
      </c>
      <c r="N373" s="3" t="s">
        <v>26</v>
      </c>
      <c r="O373" s="5">
        <v>2</v>
      </c>
      <c r="P373" s="3" t="s">
        <v>23</v>
      </c>
      <c r="Q373" s="5"/>
    </row>
    <row r="374" spans="1:17" ht="31">
      <c r="A374" s="5">
        <v>369</v>
      </c>
      <c r="B374" s="6" t="s">
        <v>16</v>
      </c>
      <c r="C374" s="5" t="str">
        <f>HYPERLINK("http://data.overheid.nl/data/dataset/lijnen-geleideconstructie-rws-dienst-noord-holland","Lijnen geleideconstructie RWS dienst Noord-Holland")</f>
        <v>Lijnen geleideconstructie RWS dienst Noord-Holland</v>
      </c>
      <c r="D374" s="6" t="s">
        <v>17</v>
      </c>
      <c r="E374" s="5" t="s">
        <v>18</v>
      </c>
      <c r="F374" s="6" t="s">
        <v>813</v>
      </c>
      <c r="G374" s="5" t="s">
        <v>288</v>
      </c>
      <c r="H374" s="6" t="s">
        <v>20</v>
      </c>
      <c r="I374" s="5" t="s">
        <v>21</v>
      </c>
      <c r="J374" s="4" t="s">
        <v>22</v>
      </c>
      <c r="K374" s="2" t="s">
        <v>23</v>
      </c>
      <c r="L374" s="6" t="s">
        <v>24</v>
      </c>
      <c r="M374" s="5" t="s">
        <v>25</v>
      </c>
      <c r="N374" s="3" t="s">
        <v>26</v>
      </c>
      <c r="O374" s="5">
        <v>2</v>
      </c>
      <c r="P374" s="3" t="s">
        <v>23</v>
      </c>
      <c r="Q374" s="5"/>
    </row>
    <row r="375" spans="1:17" ht="31">
      <c r="A375" s="5">
        <v>370</v>
      </c>
      <c r="B375" s="6" t="s">
        <v>16</v>
      </c>
      <c r="C375" s="5" t="str">
        <f>HYPERLINK("http://data.overheid.nl/data/dataset/groenbeheer-vlakken-rws-dienst-noord-holland","groenbeheer vlakken RWS dienst Noord-Holland")</f>
        <v>groenbeheer vlakken RWS dienst Noord-Holland</v>
      </c>
      <c r="D375" s="6" t="s">
        <v>17</v>
      </c>
      <c r="E375" s="5" t="s">
        <v>18</v>
      </c>
      <c r="F375" s="6" t="s">
        <v>813</v>
      </c>
      <c r="G375" s="5" t="s">
        <v>289</v>
      </c>
      <c r="H375" s="6" t="s">
        <v>20</v>
      </c>
      <c r="I375" s="5" t="s">
        <v>21</v>
      </c>
      <c r="J375" s="4" t="s">
        <v>22</v>
      </c>
      <c r="K375" s="2" t="s">
        <v>23</v>
      </c>
      <c r="L375" s="6" t="s">
        <v>24</v>
      </c>
      <c r="M375" s="5" t="s">
        <v>25</v>
      </c>
      <c r="N375" s="3" t="s">
        <v>26</v>
      </c>
      <c r="O375" s="5">
        <v>2</v>
      </c>
      <c r="P375" s="3" t="s">
        <v>23</v>
      </c>
      <c r="Q375" s="5"/>
    </row>
    <row r="376" spans="1:17" ht="93">
      <c r="A376" s="5">
        <v>371</v>
      </c>
      <c r="B376" s="6" t="s">
        <v>16</v>
      </c>
      <c r="C376" s="5" t="str">
        <f>HYPERLINK("http://data.overheid.nl/data/dataset/overzicht-vlieglijnen-kust-2012","Overzicht vlieglijnen kust 2012")</f>
        <v>Overzicht vlieglijnen kust 2012</v>
      </c>
      <c r="D376" s="6" t="s">
        <v>17</v>
      </c>
      <c r="E376" s="5" t="s">
        <v>18</v>
      </c>
      <c r="F376" s="6" t="s">
        <v>813</v>
      </c>
      <c r="G376" s="5" t="s">
        <v>290</v>
      </c>
      <c r="H376" s="6" t="s">
        <v>20</v>
      </c>
      <c r="I376" s="5" t="s">
        <v>21</v>
      </c>
      <c r="J376" s="4" t="s">
        <v>22</v>
      </c>
      <c r="K376" s="2" t="s">
        <v>23</v>
      </c>
      <c r="L376" s="6" t="s">
        <v>24</v>
      </c>
      <c r="M376" s="5" t="s">
        <v>25</v>
      </c>
      <c r="N376" s="3" t="s">
        <v>26</v>
      </c>
      <c r="O376" s="5">
        <v>4</v>
      </c>
      <c r="P376" s="3" t="s">
        <v>23</v>
      </c>
      <c r="Q376" s="5"/>
    </row>
    <row r="377" spans="1:17" ht="31">
      <c r="A377" s="5">
        <v>372</v>
      </c>
      <c r="B377" s="6" t="s">
        <v>16</v>
      </c>
      <c r="C377" s="5" t="str">
        <f>HYPERLINK("http://data.overheid.nl/data/dataset/vaarwegen-waddenzee-mei-2011","Vaarwegen Waddenzee mei 2011")</f>
        <v>Vaarwegen Waddenzee mei 2011</v>
      </c>
      <c r="D377" s="6" t="s">
        <v>17</v>
      </c>
      <c r="E377" s="5" t="s">
        <v>18</v>
      </c>
      <c r="F377" s="6" t="s">
        <v>813</v>
      </c>
      <c r="G377" s="5" t="s">
        <v>291</v>
      </c>
      <c r="H377" s="6" t="s">
        <v>28</v>
      </c>
      <c r="I377" s="5" t="s">
        <v>21</v>
      </c>
      <c r="J377" s="4" t="s">
        <v>22</v>
      </c>
      <c r="K377" s="2" t="s">
        <v>23</v>
      </c>
      <c r="L377" s="6" t="s">
        <v>24</v>
      </c>
      <c r="M377" s="5" t="s">
        <v>25</v>
      </c>
      <c r="N377" s="3" t="s">
        <v>26</v>
      </c>
      <c r="O377" s="5">
        <v>2</v>
      </c>
      <c r="P377" s="3" t="s">
        <v>23</v>
      </c>
      <c r="Q377" s="5"/>
    </row>
    <row r="378" spans="1:17" ht="155">
      <c r="A378" s="5">
        <v>373</v>
      </c>
      <c r="B378" s="6" t="s">
        <v>16</v>
      </c>
      <c r="C378" s="5" t="str">
        <f>HYPERLINK("http://data.overheid.nl/data/dataset/talud-natuur-vriendelijke-oevers-maas-2008-lijn","Talud natuur vriendelijke oevers Maas 2008 lijn")</f>
        <v>Talud natuur vriendelijke oevers Maas 2008 lijn</v>
      </c>
      <c r="D378" s="6" t="s">
        <v>17</v>
      </c>
      <c r="E378" s="5" t="s">
        <v>18</v>
      </c>
      <c r="F378" s="6" t="s">
        <v>813</v>
      </c>
      <c r="G378" s="5" t="s">
        <v>292</v>
      </c>
      <c r="H378" s="6" t="s">
        <v>20</v>
      </c>
      <c r="I378" s="5" t="s">
        <v>21</v>
      </c>
      <c r="J378" s="4" t="s">
        <v>22</v>
      </c>
      <c r="K378" s="2" t="s">
        <v>23</v>
      </c>
      <c r="L378" s="6" t="s">
        <v>24</v>
      </c>
      <c r="M378" s="5" t="s">
        <v>25</v>
      </c>
      <c r="N378" s="3" t="s">
        <v>26</v>
      </c>
      <c r="O378" s="5">
        <v>2</v>
      </c>
      <c r="P378" s="3" t="s">
        <v>23</v>
      </c>
      <c r="Q378" s="5"/>
    </row>
    <row r="379" spans="1:17" ht="155">
      <c r="A379" s="5">
        <v>374</v>
      </c>
      <c r="B379" s="6" t="s">
        <v>16</v>
      </c>
      <c r="C379" s="5" t="str">
        <f>HYPERLINK("http://data.overheid.nl/data/dataset/structuur-natuur-vriendelijke-oevers-maas-2008-vlak","Structuur natuur vriendelijke oevers Maas 2008 vlak")</f>
        <v>Structuur natuur vriendelijke oevers Maas 2008 vlak</v>
      </c>
      <c r="D379" s="6" t="s">
        <v>17</v>
      </c>
      <c r="E379" s="5" t="s">
        <v>18</v>
      </c>
      <c r="F379" s="6" t="s">
        <v>813</v>
      </c>
      <c r="G379" s="5" t="s">
        <v>292</v>
      </c>
      <c r="H379" s="6" t="s">
        <v>20</v>
      </c>
      <c r="I379" s="5" t="s">
        <v>21</v>
      </c>
      <c r="J379" s="4" t="s">
        <v>22</v>
      </c>
      <c r="K379" s="2" t="s">
        <v>23</v>
      </c>
      <c r="L379" s="6" t="s">
        <v>24</v>
      </c>
      <c r="M379" s="5" t="s">
        <v>25</v>
      </c>
      <c r="N379" s="3" t="s">
        <v>26</v>
      </c>
      <c r="O379" s="5">
        <v>2</v>
      </c>
      <c r="P379" s="3" t="s">
        <v>23</v>
      </c>
      <c r="Q379" s="5"/>
    </row>
    <row r="380" spans="1:17" ht="155">
      <c r="A380" s="5">
        <v>375</v>
      </c>
      <c r="B380" s="6" t="s">
        <v>16</v>
      </c>
      <c r="C380" s="5" t="str">
        <f>HYPERLINK("http://data.overheid.nl/data/dataset/natuur-vriendelijke-oevers-maas-steilrand-2008-lijn","Natuur vriendelijke oevers Maas - steilrand 2008 lijn")</f>
        <v>Natuur vriendelijke oevers Maas - steilrand 2008 lijn</v>
      </c>
      <c r="D380" s="6" t="s">
        <v>17</v>
      </c>
      <c r="E380" s="5" t="s">
        <v>18</v>
      </c>
      <c r="F380" s="6" t="s">
        <v>813</v>
      </c>
      <c r="G380" s="5" t="s">
        <v>292</v>
      </c>
      <c r="H380" s="6" t="s">
        <v>20</v>
      </c>
      <c r="I380" s="5" t="s">
        <v>21</v>
      </c>
      <c r="J380" s="4" t="s">
        <v>22</v>
      </c>
      <c r="K380" s="2" t="s">
        <v>23</v>
      </c>
      <c r="L380" s="6" t="s">
        <v>24</v>
      </c>
      <c r="M380" s="5" t="s">
        <v>25</v>
      </c>
      <c r="N380" s="3" t="s">
        <v>26</v>
      </c>
      <c r="O380" s="5">
        <v>2</v>
      </c>
      <c r="P380" s="3" t="s">
        <v>23</v>
      </c>
      <c r="Q380" s="5"/>
    </row>
    <row r="381" spans="1:17" ht="108.5">
      <c r="A381" s="5">
        <v>376</v>
      </c>
      <c r="B381" s="6" t="s">
        <v>16</v>
      </c>
      <c r="C381" s="5" t="str">
        <f>HYPERLINK("http://data.overheid.nl/data/dataset/militaire-gebieden-op-de-noordzee","Militaire gebieden op de Noordzee")</f>
        <v>Militaire gebieden op de Noordzee</v>
      </c>
      <c r="D381" s="6" t="s">
        <v>17</v>
      </c>
      <c r="E381" s="5" t="s">
        <v>18</v>
      </c>
      <c r="F381" s="6" t="s">
        <v>813</v>
      </c>
      <c r="G381" s="5" t="s">
        <v>293</v>
      </c>
      <c r="H381" s="6" t="s">
        <v>20</v>
      </c>
      <c r="I381" s="5" t="s">
        <v>21</v>
      </c>
      <c r="J381" s="4" t="s">
        <v>22</v>
      </c>
      <c r="K381" s="2" t="s">
        <v>23</v>
      </c>
      <c r="L381" s="6" t="s">
        <v>24</v>
      </c>
      <c r="M381" s="5" t="s">
        <v>25</v>
      </c>
      <c r="N381" s="3" t="s">
        <v>26</v>
      </c>
      <c r="O381" s="5">
        <v>2</v>
      </c>
      <c r="P381" s="3" t="s">
        <v>23</v>
      </c>
      <c r="Q381" s="5"/>
    </row>
    <row r="382" spans="1:17" ht="46.5">
      <c r="A382" s="5">
        <v>377</v>
      </c>
      <c r="B382" s="6" t="s">
        <v>16</v>
      </c>
      <c r="C382" s="5" t="str">
        <f>HYPERLINK("http://data.overheid.nl/data/dataset/algemeen-dieptebestand-ijsselmeergebied-2011","Algemeen Dieptebestand IJsselmeergebied 2011")</f>
        <v>Algemeen Dieptebestand IJsselmeergebied 2011</v>
      </c>
      <c r="D382" s="6" t="s">
        <v>17</v>
      </c>
      <c r="E382" s="5" t="s">
        <v>18</v>
      </c>
      <c r="F382" s="6" t="s">
        <v>813</v>
      </c>
      <c r="G382" s="5" t="s">
        <v>294</v>
      </c>
      <c r="H382" s="6" t="s">
        <v>20</v>
      </c>
      <c r="I382" s="5" t="s">
        <v>21</v>
      </c>
      <c r="J382" s="4" t="s">
        <v>22</v>
      </c>
      <c r="K382" s="2" t="s">
        <v>23</v>
      </c>
      <c r="L382" s="6" t="s">
        <v>24</v>
      </c>
      <c r="M382" s="5" t="s">
        <v>25</v>
      </c>
      <c r="N382" s="3" t="s">
        <v>26</v>
      </c>
      <c r="O382" s="5">
        <v>2</v>
      </c>
      <c r="P382" s="3" t="s">
        <v>23</v>
      </c>
      <c r="Q382" s="5"/>
    </row>
    <row r="383" spans="1:17" ht="46.5">
      <c r="A383" s="5">
        <v>378</v>
      </c>
      <c r="B383" s="6" t="s">
        <v>16</v>
      </c>
      <c r="C383" s="5" t="str">
        <f>HYPERLINK("http://data.overheid.nl/data/dataset/algemeen-dieptebestand-ijsselmeergebied-2006","Algemeen Dieptebestand IJsselmeergebied 2006")</f>
        <v>Algemeen Dieptebestand IJsselmeergebied 2006</v>
      </c>
      <c r="D383" s="6" t="s">
        <v>17</v>
      </c>
      <c r="E383" s="5" t="s">
        <v>18</v>
      </c>
      <c r="F383" s="6" t="s">
        <v>813</v>
      </c>
      <c r="G383" s="5" t="s">
        <v>295</v>
      </c>
      <c r="H383" s="6" t="s">
        <v>20</v>
      </c>
      <c r="I383" s="5" t="s">
        <v>21</v>
      </c>
      <c r="J383" s="4" t="s">
        <v>22</v>
      </c>
      <c r="K383" s="2" t="s">
        <v>23</v>
      </c>
      <c r="L383" s="6" t="s">
        <v>24</v>
      </c>
      <c r="M383" s="5" t="s">
        <v>25</v>
      </c>
      <c r="N383" s="3" t="s">
        <v>26</v>
      </c>
      <c r="O383" s="5">
        <v>2</v>
      </c>
      <c r="P383" s="3" t="s">
        <v>23</v>
      </c>
      <c r="Q383" s="5"/>
    </row>
    <row r="384" spans="1:17" ht="31">
      <c r="A384" s="5">
        <v>379</v>
      </c>
      <c r="B384" s="6" t="s">
        <v>16</v>
      </c>
      <c r="C384" s="5" t="str">
        <f>HYPERLINK("http://data.overheid.nl/data/dataset/schelpdierwater-20081120-krw-beschermde-gebieden","Schelpdierwater 20081120 (KRW-Beschermde gebieden)")</f>
        <v>Schelpdierwater 20081120 (KRW-Beschermde gebieden)</v>
      </c>
      <c r="D384" s="6" t="s">
        <v>17</v>
      </c>
      <c r="E384" s="5" t="s">
        <v>18</v>
      </c>
      <c r="F384" s="6" t="s">
        <v>813</v>
      </c>
      <c r="G384" s="5" t="s">
        <v>296</v>
      </c>
      <c r="H384" s="6" t="s">
        <v>20</v>
      </c>
      <c r="I384" s="5" t="s">
        <v>21</v>
      </c>
      <c r="J384" s="4" t="s">
        <v>22</v>
      </c>
      <c r="K384" s="2" t="s">
        <v>23</v>
      </c>
      <c r="L384" s="6" t="s">
        <v>24</v>
      </c>
      <c r="M384" s="5" t="s">
        <v>25</v>
      </c>
      <c r="N384" s="3" t="s">
        <v>26</v>
      </c>
      <c r="O384" s="5">
        <v>4</v>
      </c>
      <c r="P384" s="3" t="s">
        <v>23</v>
      </c>
      <c r="Q384" s="5"/>
    </row>
    <row r="385" spans="1:17" ht="31">
      <c r="A385" s="5">
        <v>380</v>
      </c>
      <c r="B385" s="6" t="s">
        <v>16</v>
      </c>
      <c r="C385" s="5" t="str">
        <f>HYPERLINK("http://data.overheid.nl/data/dataset/waterstaatkundig-beheer-waterregeling-vlakken-bestand","Waterstaatkundig beheer Waterregeling (Vlakken-bestand)")</f>
        <v>Waterstaatkundig beheer Waterregeling (Vlakken-bestand)</v>
      </c>
      <c r="D385" s="6" t="s">
        <v>17</v>
      </c>
      <c r="E385" s="5" t="s">
        <v>18</v>
      </c>
      <c r="F385" s="6" t="s">
        <v>813</v>
      </c>
      <c r="G385" s="5" t="s">
        <v>297</v>
      </c>
      <c r="H385" s="6" t="s">
        <v>20</v>
      </c>
      <c r="I385" s="5" t="s">
        <v>21</v>
      </c>
      <c r="J385" s="4" t="s">
        <v>22</v>
      </c>
      <c r="K385" s="2" t="s">
        <v>23</v>
      </c>
      <c r="L385" s="6" t="s">
        <v>24</v>
      </c>
      <c r="M385" s="5" t="s">
        <v>25</v>
      </c>
      <c r="N385" s="3" t="s">
        <v>26</v>
      </c>
      <c r="O385" s="5">
        <v>2</v>
      </c>
      <c r="P385" s="3" t="s">
        <v>23</v>
      </c>
      <c r="Q385" s="5"/>
    </row>
    <row r="386" spans="1:17" ht="31">
      <c r="A386" s="5">
        <v>381</v>
      </c>
      <c r="B386" s="6" t="s">
        <v>16</v>
      </c>
      <c r="C386" s="5" t="str">
        <f>HYPERLINK("http://data.overheid.nl/data/dataset/vrijstelling-vergunningplicht-gebruik-waterstaatswerken-waterregeling-vlakken","Vrijstelling vergunningplicht gebruik waterstaatswerken Waterregeling (Vlakken)")</f>
        <v>Vrijstelling vergunningplicht gebruik waterstaatswerken Waterregeling (Vlakken)</v>
      </c>
      <c r="D386" s="6" t="s">
        <v>17</v>
      </c>
      <c r="E386" s="5" t="s">
        <v>18</v>
      </c>
      <c r="F386" s="6" t="s">
        <v>813</v>
      </c>
      <c r="G386" s="5" t="s">
        <v>298</v>
      </c>
      <c r="H386" s="6" t="s">
        <v>28</v>
      </c>
      <c r="I386" s="5" t="s">
        <v>21</v>
      </c>
      <c r="J386" s="4" t="s">
        <v>22</v>
      </c>
      <c r="K386" s="2" t="s">
        <v>23</v>
      </c>
      <c r="L386" s="6" t="s">
        <v>24</v>
      </c>
      <c r="M386" s="5" t="s">
        <v>25</v>
      </c>
      <c r="N386" s="3" t="s">
        <v>26</v>
      </c>
      <c r="O386" s="5">
        <v>2</v>
      </c>
      <c r="P386" s="3" t="s">
        <v>23</v>
      </c>
      <c r="Q386" s="5"/>
    </row>
    <row r="387" spans="1:17" ht="31">
      <c r="A387" s="5">
        <v>382</v>
      </c>
      <c r="B387" s="6" t="s">
        <v>16</v>
      </c>
      <c r="C387" s="5" t="str">
        <f>HYPERLINK("http://data.overheid.nl/data/dataset/drogere-oevergebieden-waterregeling-vlakken","Drogere oevergebieden Waterregeling (vlakken)")</f>
        <v>Drogere oevergebieden Waterregeling (vlakken)</v>
      </c>
      <c r="D387" s="6" t="s">
        <v>17</v>
      </c>
      <c r="E387" s="5" t="s">
        <v>18</v>
      </c>
      <c r="F387" s="6" t="s">
        <v>813</v>
      </c>
      <c r="G387" s="5" t="s">
        <v>299</v>
      </c>
      <c r="H387" s="6" t="s">
        <v>20</v>
      </c>
      <c r="I387" s="5" t="s">
        <v>21</v>
      </c>
      <c r="J387" s="4" t="s">
        <v>22</v>
      </c>
      <c r="K387" s="2" t="s">
        <v>23</v>
      </c>
      <c r="L387" s="6" t="s">
        <v>24</v>
      </c>
      <c r="M387" s="5" t="s">
        <v>25</v>
      </c>
      <c r="N387" s="3" t="s">
        <v>26</v>
      </c>
      <c r="O387" s="5">
        <v>2</v>
      </c>
      <c r="P387" s="3" t="s">
        <v>23</v>
      </c>
      <c r="Q387" s="5"/>
    </row>
    <row r="388" spans="1:17" ht="31">
      <c r="A388" s="5">
        <v>383</v>
      </c>
      <c r="B388" s="6" t="s">
        <v>16</v>
      </c>
      <c r="C388" s="5" t="str">
        <f>HYPERLINK("http://data.overheid.nl/data/dataset/beheer-waterkwantiteit-waterregeling-vlakken","Beheer waterkwantiteit Waterregeling (Vlakken)")</f>
        <v>Beheer waterkwantiteit Waterregeling (Vlakken)</v>
      </c>
      <c r="D388" s="6" t="s">
        <v>17</v>
      </c>
      <c r="E388" s="5" t="s">
        <v>18</v>
      </c>
      <c r="F388" s="6" t="s">
        <v>813</v>
      </c>
      <c r="G388" s="5" t="s">
        <v>300</v>
      </c>
      <c r="H388" s="6" t="s">
        <v>28</v>
      </c>
      <c r="I388" s="5" t="s">
        <v>21</v>
      </c>
      <c r="J388" s="4" t="s">
        <v>22</v>
      </c>
      <c r="K388" s="2" t="s">
        <v>23</v>
      </c>
      <c r="L388" s="6" t="s">
        <v>24</v>
      </c>
      <c r="M388" s="5" t="s">
        <v>25</v>
      </c>
      <c r="N388" s="3" t="s">
        <v>26</v>
      </c>
      <c r="O388" s="5">
        <v>2</v>
      </c>
      <c r="P388" s="3" t="s">
        <v>23</v>
      </c>
      <c r="Q388" s="5"/>
    </row>
    <row r="389" spans="1:17" ht="31">
      <c r="A389" s="5">
        <v>384</v>
      </c>
      <c r="B389" s="6" t="s">
        <v>16</v>
      </c>
      <c r="C389" s="5" t="str">
        <f>HYPERLINK("http://data.overheid.nl/data/dataset/beheer-waterkwaliteit-waterregeling-vlakken","Beheer waterkwaliteit Waterregeling (vlakken)")</f>
        <v>Beheer waterkwaliteit Waterregeling (vlakken)</v>
      </c>
      <c r="D389" s="6" t="s">
        <v>17</v>
      </c>
      <c r="E389" s="5" t="s">
        <v>18</v>
      </c>
      <c r="F389" s="6" t="s">
        <v>813</v>
      </c>
      <c r="G389" s="5" t="s">
        <v>301</v>
      </c>
      <c r="H389" s="6" t="s">
        <v>20</v>
      </c>
      <c r="I389" s="5" t="s">
        <v>21</v>
      </c>
      <c r="J389" s="4" t="s">
        <v>22</v>
      </c>
      <c r="K389" s="2" t="s">
        <v>23</v>
      </c>
      <c r="L389" s="6" t="s">
        <v>24</v>
      </c>
      <c r="M389" s="5" t="s">
        <v>25</v>
      </c>
      <c r="N389" s="3" t="s">
        <v>26</v>
      </c>
      <c r="O389" s="5">
        <v>2</v>
      </c>
      <c r="P389" s="3" t="s">
        <v>23</v>
      </c>
      <c r="Q389" s="5"/>
    </row>
    <row r="390" spans="1:17" ht="186">
      <c r="A390" s="5">
        <v>385</v>
      </c>
      <c r="B390" s="6" t="s">
        <v>16</v>
      </c>
      <c r="C390" s="5" t="str">
        <f>HYPERLINK("http://data.overheid.nl/data/dataset/locaties-helicopterfotos-20100920","Locaties helicopterfotos 20100920")</f>
        <v>Locaties helicopterfotos 20100920</v>
      </c>
      <c r="D390" s="6" t="s">
        <v>17</v>
      </c>
      <c r="E390" s="5" t="s">
        <v>18</v>
      </c>
      <c r="F390" s="6" t="s">
        <v>813</v>
      </c>
      <c r="G390" s="5" t="s">
        <v>302</v>
      </c>
      <c r="H390" s="6" t="s">
        <v>20</v>
      </c>
      <c r="I390" s="5" t="s">
        <v>21</v>
      </c>
      <c r="J390" s="4" t="s">
        <v>22</v>
      </c>
      <c r="K390" s="2" t="s">
        <v>23</v>
      </c>
      <c r="L390" s="6" t="s">
        <v>24</v>
      </c>
      <c r="M390" s="5" t="s">
        <v>25</v>
      </c>
      <c r="N390" s="3" t="s">
        <v>26</v>
      </c>
      <c r="O390" s="5">
        <v>2</v>
      </c>
      <c r="P390" s="3" t="s">
        <v>23</v>
      </c>
      <c r="Q390" s="5"/>
    </row>
    <row r="391" spans="1:17" ht="77.5">
      <c r="A391" s="5">
        <v>386</v>
      </c>
      <c r="B391" s="6" t="s">
        <v>16</v>
      </c>
      <c r="C391" s="5" t="str">
        <f>HYPERLINK("http://data.overheid.nl/data/dataset/hoogtebestand-oosterschelde-2010","Hoogtebestand Oosterschelde 2010")</f>
        <v>Hoogtebestand Oosterschelde 2010</v>
      </c>
      <c r="D391" s="6" t="s">
        <v>17</v>
      </c>
      <c r="E391" s="5" t="s">
        <v>18</v>
      </c>
      <c r="F391" s="6" t="s">
        <v>813</v>
      </c>
      <c r="G391" s="5" t="s">
        <v>303</v>
      </c>
      <c r="H391" s="6" t="s">
        <v>20</v>
      </c>
      <c r="I391" s="5" t="s">
        <v>21</v>
      </c>
      <c r="J391" s="4" t="s">
        <v>22</v>
      </c>
      <c r="K391" s="2" t="s">
        <v>23</v>
      </c>
      <c r="L391" s="6" t="s">
        <v>24</v>
      </c>
      <c r="M391" s="5" t="s">
        <v>25</v>
      </c>
      <c r="N391" s="3" t="s">
        <v>26</v>
      </c>
      <c r="O391" s="5">
        <v>2</v>
      </c>
      <c r="P391" s="3" t="s">
        <v>23</v>
      </c>
      <c r="Q391" s="5"/>
    </row>
    <row r="392" spans="1:17" ht="46.5">
      <c r="A392" s="5">
        <v>387</v>
      </c>
      <c r="B392" s="6" t="s">
        <v>16</v>
      </c>
      <c r="C392" s="5" t="str">
        <f>HYPERLINK("http://data.overheid.nl/data/dataset/zuid-holland-service-vaarweg-kml-ondiepte-tov-ngd-20-7-2013","Zuid-Holland service vaarweg (kml) ondiepte tov ngd 20-7-2013")</f>
        <v>Zuid-Holland service vaarweg (kml) ondiepte tov ngd 20-7-2013</v>
      </c>
      <c r="D392" s="6" t="s">
        <v>17</v>
      </c>
      <c r="E392" s="5" t="s">
        <v>18</v>
      </c>
      <c r="F392" s="6" t="s">
        <v>813</v>
      </c>
      <c r="G392" s="5" t="s">
        <v>304</v>
      </c>
      <c r="H392" s="6" t="s">
        <v>20</v>
      </c>
      <c r="I392" s="5" t="s">
        <v>21</v>
      </c>
      <c r="J392" s="9" t="s">
        <v>305</v>
      </c>
      <c r="K392" s="2" t="s">
        <v>23</v>
      </c>
      <c r="L392" s="6" t="s">
        <v>24</v>
      </c>
      <c r="M392" s="5" t="s">
        <v>25</v>
      </c>
      <c r="N392" s="3" t="s">
        <v>26</v>
      </c>
      <c r="O392" s="5">
        <v>29</v>
      </c>
      <c r="P392" s="3" t="s">
        <v>23</v>
      </c>
      <c r="Q392" s="5"/>
    </row>
    <row r="393" spans="1:17" ht="31">
      <c r="A393" s="5">
        <v>388</v>
      </c>
      <c r="B393" s="6" t="s">
        <v>16</v>
      </c>
      <c r="C393" s="5" t="str">
        <f>HYPERLINK("http://data.overheid.nl/data/dataset/vlakken-wegmeubilair-rws-dienst-noord-brabant","Vlakken wegmeubilair RWS dienst Noord-Brabant")</f>
        <v>Vlakken wegmeubilair RWS dienst Noord-Brabant</v>
      </c>
      <c r="D393" s="6" t="s">
        <v>17</v>
      </c>
      <c r="E393" s="5" t="s">
        <v>18</v>
      </c>
      <c r="F393" s="6" t="s">
        <v>813</v>
      </c>
      <c r="G393" s="5" t="s">
        <v>255</v>
      </c>
      <c r="H393" s="6" t="s">
        <v>20</v>
      </c>
      <c r="I393" s="5" t="s">
        <v>21</v>
      </c>
      <c r="J393" s="4" t="s">
        <v>22</v>
      </c>
      <c r="K393" s="2" t="s">
        <v>23</v>
      </c>
      <c r="L393" s="6" t="s">
        <v>24</v>
      </c>
      <c r="M393" s="5" t="s">
        <v>25</v>
      </c>
      <c r="N393" s="3" t="s">
        <v>26</v>
      </c>
      <c r="O393" s="5">
        <v>2</v>
      </c>
      <c r="P393" s="3" t="s">
        <v>23</v>
      </c>
      <c r="Q393" s="5"/>
    </row>
    <row r="394" spans="1:17" ht="31">
      <c r="A394" s="5">
        <v>389</v>
      </c>
      <c r="B394" s="6" t="s">
        <v>16</v>
      </c>
      <c r="C394" s="5" t="str">
        <f>HYPERLINK("http://data.overheid.nl/data/dataset/vlakken-wegmeubilair-rws-dienst-limburg","Vlakken wegmeubilair RWS dienst Limburg")</f>
        <v>Vlakken wegmeubilair RWS dienst Limburg</v>
      </c>
      <c r="D394" s="6" t="s">
        <v>17</v>
      </c>
      <c r="E394" s="5" t="s">
        <v>18</v>
      </c>
      <c r="F394" s="6" t="s">
        <v>813</v>
      </c>
      <c r="G394" s="5" t="s">
        <v>255</v>
      </c>
      <c r="H394" s="6" t="s">
        <v>20</v>
      </c>
      <c r="I394" s="5" t="s">
        <v>21</v>
      </c>
      <c r="J394" s="4" t="s">
        <v>22</v>
      </c>
      <c r="K394" s="2" t="s">
        <v>23</v>
      </c>
      <c r="L394" s="6" t="s">
        <v>24</v>
      </c>
      <c r="M394" s="5" t="s">
        <v>25</v>
      </c>
      <c r="N394" s="3" t="s">
        <v>26</v>
      </c>
      <c r="O394" s="5">
        <v>2</v>
      </c>
      <c r="P394" s="3" t="s">
        <v>23</v>
      </c>
      <c r="Q394" s="5"/>
    </row>
    <row r="395" spans="1:17" ht="77.5">
      <c r="A395" s="5">
        <v>390</v>
      </c>
      <c r="B395" s="6" t="s">
        <v>16</v>
      </c>
      <c r="C395" s="5" t="str">
        <f>HYPERLINK("http://data.overheid.nl/data/dataset/vlakken-waterafvoer-rws-dienst-noord-brabant","Vlakken waterafvoer RWS dienst Noord-Brabant")</f>
        <v>Vlakken waterafvoer RWS dienst Noord-Brabant</v>
      </c>
      <c r="D395" s="6" t="s">
        <v>17</v>
      </c>
      <c r="E395" s="5" t="s">
        <v>18</v>
      </c>
      <c r="F395" s="6" t="s">
        <v>813</v>
      </c>
      <c r="G395" s="2" t="s">
        <v>256</v>
      </c>
      <c r="H395" s="6" t="s">
        <v>20</v>
      </c>
      <c r="I395" s="5" t="s">
        <v>21</v>
      </c>
      <c r="J395" s="4" t="s">
        <v>22</v>
      </c>
      <c r="K395" s="2" t="s">
        <v>23</v>
      </c>
      <c r="L395" s="6" t="s">
        <v>24</v>
      </c>
      <c r="M395" s="5" t="s">
        <v>25</v>
      </c>
      <c r="N395" s="3" t="s">
        <v>26</v>
      </c>
      <c r="O395" s="5">
        <v>2</v>
      </c>
      <c r="P395" s="3" t="s">
        <v>23</v>
      </c>
      <c r="Q395" s="5"/>
    </row>
    <row r="396" spans="1:17" ht="77.5">
      <c r="A396" s="5">
        <v>391</v>
      </c>
      <c r="B396" s="6" t="s">
        <v>16</v>
      </c>
      <c r="C396" s="5" t="str">
        <f>HYPERLINK("http://data.overheid.nl/data/dataset/vlakken-waterafvoer-rws-dienst-limburg","Vlakken waterafvoer RWS dienst Limburg")</f>
        <v>Vlakken waterafvoer RWS dienst Limburg</v>
      </c>
      <c r="D396" s="6" t="s">
        <v>17</v>
      </c>
      <c r="E396" s="5" t="s">
        <v>18</v>
      </c>
      <c r="F396" s="6" t="s">
        <v>813</v>
      </c>
      <c r="G396" s="2" t="s">
        <v>256</v>
      </c>
      <c r="H396" s="6" t="s">
        <v>20</v>
      </c>
      <c r="I396" s="5" t="s">
        <v>21</v>
      </c>
      <c r="J396" s="4" t="s">
        <v>22</v>
      </c>
      <c r="K396" s="2" t="s">
        <v>23</v>
      </c>
      <c r="L396" s="6" t="s">
        <v>24</v>
      </c>
      <c r="M396" s="5" t="s">
        <v>25</v>
      </c>
      <c r="N396" s="3" t="s">
        <v>26</v>
      </c>
      <c r="O396" s="5">
        <v>2</v>
      </c>
      <c r="P396" s="3" t="s">
        <v>23</v>
      </c>
      <c r="Q396" s="5"/>
    </row>
    <row r="397" spans="1:17" ht="31">
      <c r="A397" s="5">
        <v>392</v>
      </c>
      <c r="B397" s="6" t="s">
        <v>16</v>
      </c>
      <c r="C397" s="5" t="str">
        <f>HYPERLINK("http://data.overheid.nl/data/dataset/vlakken-terrein-rws-dienst-noord-brabant","Vlakken terrein RWS dienst Noord-Brabant")</f>
        <v>Vlakken terrein RWS dienst Noord-Brabant</v>
      </c>
      <c r="D397" s="6" t="s">
        <v>17</v>
      </c>
      <c r="E397" s="5" t="s">
        <v>18</v>
      </c>
      <c r="F397" s="6" t="s">
        <v>813</v>
      </c>
      <c r="G397" s="5" t="s">
        <v>257</v>
      </c>
      <c r="H397" s="6" t="s">
        <v>20</v>
      </c>
      <c r="I397" s="5" t="s">
        <v>21</v>
      </c>
      <c r="J397" s="4" t="s">
        <v>22</v>
      </c>
      <c r="K397" s="2" t="s">
        <v>23</v>
      </c>
      <c r="L397" s="6" t="s">
        <v>24</v>
      </c>
      <c r="M397" s="5" t="s">
        <v>25</v>
      </c>
      <c r="N397" s="3" t="s">
        <v>26</v>
      </c>
      <c r="O397" s="5">
        <v>2</v>
      </c>
      <c r="P397" s="3" t="s">
        <v>23</v>
      </c>
      <c r="Q397" s="5"/>
    </row>
    <row r="398" spans="1:17" ht="31">
      <c r="A398" s="5">
        <v>393</v>
      </c>
      <c r="B398" s="6" t="s">
        <v>16</v>
      </c>
      <c r="C398" s="5" t="str">
        <f>HYPERLINK("http://data.overheid.nl/data/dataset/vlakken-terrein-rws-dienst-limburg","Vlakken terrein RWS dienst Limburg")</f>
        <v>Vlakken terrein RWS dienst Limburg</v>
      </c>
      <c r="D398" s="6" t="s">
        <v>17</v>
      </c>
      <c r="E398" s="5" t="s">
        <v>18</v>
      </c>
      <c r="F398" s="6" t="s">
        <v>813</v>
      </c>
      <c r="G398" s="5" t="s">
        <v>257</v>
      </c>
      <c r="H398" s="6" t="s">
        <v>20</v>
      </c>
      <c r="I398" s="5" t="s">
        <v>21</v>
      </c>
      <c r="J398" s="4" t="s">
        <v>22</v>
      </c>
      <c r="K398" s="2" t="s">
        <v>23</v>
      </c>
      <c r="L398" s="6" t="s">
        <v>24</v>
      </c>
      <c r="M398" s="5" t="s">
        <v>25</v>
      </c>
      <c r="N398" s="3" t="s">
        <v>26</v>
      </c>
      <c r="O398" s="5">
        <v>2</v>
      </c>
      <c r="P398" s="3" t="s">
        <v>23</v>
      </c>
      <c r="Q398" s="5"/>
    </row>
    <row r="399" spans="1:17" ht="31">
      <c r="A399" s="5">
        <v>394</v>
      </c>
      <c r="B399" s="6" t="s">
        <v>16</v>
      </c>
      <c r="C399" s="5" t="str">
        <f>HYPERLINK("http://data.overheid.nl/data/dataset/vlakken-projecten-rws-dienst-noord-brabant","Vlakken projecten RWS dienst Noord-Brabant")</f>
        <v>Vlakken projecten RWS dienst Noord-Brabant</v>
      </c>
      <c r="D399" s="6" t="s">
        <v>17</v>
      </c>
      <c r="E399" s="5" t="s">
        <v>18</v>
      </c>
      <c r="F399" s="6" t="s">
        <v>813</v>
      </c>
      <c r="G399" s="5" t="s">
        <v>279</v>
      </c>
      <c r="H399" s="6" t="s">
        <v>20</v>
      </c>
      <c r="I399" s="5" t="s">
        <v>21</v>
      </c>
      <c r="J399" s="4" t="s">
        <v>22</v>
      </c>
      <c r="K399" s="2" t="s">
        <v>23</v>
      </c>
      <c r="L399" s="6" t="s">
        <v>24</v>
      </c>
      <c r="M399" s="5" t="s">
        <v>25</v>
      </c>
      <c r="N399" s="3" t="s">
        <v>26</v>
      </c>
      <c r="O399" s="5">
        <v>2</v>
      </c>
      <c r="P399" s="3" t="s">
        <v>23</v>
      </c>
      <c r="Q399" s="5"/>
    </row>
    <row r="400" spans="1:17" ht="31">
      <c r="A400" s="5">
        <v>395</v>
      </c>
      <c r="B400" s="6" t="s">
        <v>16</v>
      </c>
      <c r="C400" s="5" t="str">
        <f>HYPERLINK("http://data.overheid.nl/data/dataset/vlakken-projecten-rws-dienst-limburg","Vlakken projecten RWS dienst Limburg")</f>
        <v>Vlakken projecten RWS dienst Limburg</v>
      </c>
      <c r="D400" s="6" t="s">
        <v>17</v>
      </c>
      <c r="E400" s="5" t="s">
        <v>18</v>
      </c>
      <c r="F400" s="6" t="s">
        <v>813</v>
      </c>
      <c r="G400" s="5" t="s">
        <v>279</v>
      </c>
      <c r="H400" s="6" t="s">
        <v>20</v>
      </c>
      <c r="I400" s="5" t="s">
        <v>21</v>
      </c>
      <c r="J400" s="4" t="s">
        <v>22</v>
      </c>
      <c r="K400" s="2" t="s">
        <v>23</v>
      </c>
      <c r="L400" s="6" t="s">
        <v>24</v>
      </c>
      <c r="M400" s="5" t="s">
        <v>25</v>
      </c>
      <c r="N400" s="3" t="s">
        <v>26</v>
      </c>
      <c r="O400" s="5">
        <v>2</v>
      </c>
      <c r="P400" s="3" t="s">
        <v>23</v>
      </c>
      <c r="Q400" s="5"/>
    </row>
    <row r="401" spans="1:17" ht="31">
      <c r="A401" s="5">
        <v>396</v>
      </c>
      <c r="B401" s="6" t="s">
        <v>16</v>
      </c>
      <c r="C401" s="5" t="str">
        <f>HYPERLINK("http://data.overheid.nl/data/dataset/vlakken-kunstwerk-rws-dienst-noord-brabant","Vlakken kunstwerk RWS dienst Noord-Brabant")</f>
        <v>Vlakken kunstwerk RWS dienst Noord-Brabant</v>
      </c>
      <c r="D401" s="6" t="s">
        <v>17</v>
      </c>
      <c r="E401" s="5" t="s">
        <v>18</v>
      </c>
      <c r="F401" s="6" t="s">
        <v>813</v>
      </c>
      <c r="G401" s="5" t="s">
        <v>280</v>
      </c>
      <c r="H401" s="6" t="s">
        <v>20</v>
      </c>
      <c r="I401" s="5" t="s">
        <v>21</v>
      </c>
      <c r="J401" s="4" t="s">
        <v>22</v>
      </c>
      <c r="K401" s="2" t="s">
        <v>23</v>
      </c>
      <c r="L401" s="6" t="s">
        <v>24</v>
      </c>
      <c r="M401" s="5" t="s">
        <v>25</v>
      </c>
      <c r="N401" s="3" t="s">
        <v>26</v>
      </c>
      <c r="O401" s="5">
        <v>2</v>
      </c>
      <c r="P401" s="3" t="s">
        <v>23</v>
      </c>
      <c r="Q401" s="5"/>
    </row>
    <row r="402" spans="1:17" ht="31">
      <c r="A402" s="5">
        <v>397</v>
      </c>
      <c r="B402" s="6" t="s">
        <v>16</v>
      </c>
      <c r="C402" s="5" t="str">
        <f>HYPERLINK("http://data.overheid.nl/data/dataset/vlakken-kunstwerk-rws-dienst-limburg","Vlakken kunstwerk RWS dienst Limburg")</f>
        <v>Vlakken kunstwerk RWS dienst Limburg</v>
      </c>
      <c r="D402" s="6" t="s">
        <v>17</v>
      </c>
      <c r="E402" s="5" t="s">
        <v>18</v>
      </c>
      <c r="F402" s="6" t="s">
        <v>813</v>
      </c>
      <c r="G402" s="5" t="s">
        <v>280</v>
      </c>
      <c r="H402" s="6" t="s">
        <v>20</v>
      </c>
      <c r="I402" s="5" t="s">
        <v>21</v>
      </c>
      <c r="J402" s="4" t="s">
        <v>22</v>
      </c>
      <c r="K402" s="2" t="s">
        <v>23</v>
      </c>
      <c r="L402" s="6" t="s">
        <v>24</v>
      </c>
      <c r="M402" s="5" t="s">
        <v>25</v>
      </c>
      <c r="N402" s="3" t="s">
        <v>26</v>
      </c>
      <c r="O402" s="5">
        <v>2</v>
      </c>
      <c r="P402" s="3" t="s">
        <v>23</v>
      </c>
      <c r="Q402" s="5"/>
    </row>
    <row r="403" spans="1:17" ht="31">
      <c r="A403" s="5">
        <v>398</v>
      </c>
      <c r="B403" s="6" t="s">
        <v>16</v>
      </c>
      <c r="C403" s="5" t="str">
        <f>HYPERLINK("http://data.overheid.nl/data/dataset/vlakken-gebouw-installaties-rws-dienst-noord-brabant","Vlakken gebouw installaties RWS dienst Noord-Brabant")</f>
        <v>Vlakken gebouw installaties RWS dienst Noord-Brabant</v>
      </c>
      <c r="D403" s="6" t="s">
        <v>17</v>
      </c>
      <c r="E403" s="5" t="s">
        <v>18</v>
      </c>
      <c r="F403" s="6" t="s">
        <v>813</v>
      </c>
      <c r="G403" s="5" t="s">
        <v>258</v>
      </c>
      <c r="H403" s="6" t="s">
        <v>20</v>
      </c>
      <c r="I403" s="5" t="s">
        <v>21</v>
      </c>
      <c r="J403" s="4" t="s">
        <v>22</v>
      </c>
      <c r="K403" s="2" t="s">
        <v>23</v>
      </c>
      <c r="L403" s="6" t="s">
        <v>24</v>
      </c>
      <c r="M403" s="5" t="s">
        <v>25</v>
      </c>
      <c r="N403" s="3" t="s">
        <v>26</v>
      </c>
      <c r="O403" s="5">
        <v>2</v>
      </c>
      <c r="P403" s="3" t="s">
        <v>23</v>
      </c>
      <c r="Q403" s="5"/>
    </row>
    <row r="404" spans="1:17" ht="31">
      <c r="A404" s="5">
        <v>399</v>
      </c>
      <c r="B404" s="6" t="s">
        <v>16</v>
      </c>
      <c r="C404" s="5" t="str">
        <f>HYPERLINK("http://data.overheid.nl/data/dataset/vlakken-gebouw-installaties-rws-dienst-limburg","Vlakken gebouw installaties RWS dienst Limburg")</f>
        <v>Vlakken gebouw installaties RWS dienst Limburg</v>
      </c>
      <c r="D404" s="6" t="s">
        <v>17</v>
      </c>
      <c r="E404" s="5" t="s">
        <v>18</v>
      </c>
      <c r="F404" s="6" t="s">
        <v>813</v>
      </c>
      <c r="G404" s="5" t="s">
        <v>258</v>
      </c>
      <c r="H404" s="6" t="s">
        <v>20</v>
      </c>
      <c r="I404" s="5" t="s">
        <v>21</v>
      </c>
      <c r="J404" s="4" t="s">
        <v>22</v>
      </c>
      <c r="K404" s="2" t="s">
        <v>23</v>
      </c>
      <c r="L404" s="6" t="s">
        <v>24</v>
      </c>
      <c r="M404" s="5" t="s">
        <v>25</v>
      </c>
      <c r="N404" s="3" t="s">
        <v>26</v>
      </c>
      <c r="O404" s="5">
        <v>2</v>
      </c>
      <c r="P404" s="3" t="s">
        <v>23</v>
      </c>
      <c r="Q404" s="5"/>
    </row>
    <row r="405" spans="1:17" ht="31">
      <c r="A405" s="5">
        <v>400</v>
      </c>
      <c r="B405" s="6" t="s">
        <v>16</v>
      </c>
      <c r="C405" s="5" t="str">
        <f>HYPERLINK("http://data.overheid.nl/data/dataset/vlakken-beheersituatie-rws-dienst-noord-brabant","Vlakken beheersituatie RWS dienst Noord-Brabant")</f>
        <v>Vlakken beheersituatie RWS dienst Noord-Brabant</v>
      </c>
      <c r="D405" s="6" t="s">
        <v>17</v>
      </c>
      <c r="E405" s="5" t="s">
        <v>18</v>
      </c>
      <c r="F405" s="6" t="s">
        <v>813</v>
      </c>
      <c r="G405" s="5" t="s">
        <v>281</v>
      </c>
      <c r="H405" s="6" t="s">
        <v>20</v>
      </c>
      <c r="I405" s="5" t="s">
        <v>21</v>
      </c>
      <c r="J405" s="4" t="s">
        <v>22</v>
      </c>
      <c r="K405" s="2" t="s">
        <v>23</v>
      </c>
      <c r="L405" s="6" t="s">
        <v>24</v>
      </c>
      <c r="M405" s="5" t="s">
        <v>25</v>
      </c>
      <c r="N405" s="3" t="s">
        <v>26</v>
      </c>
      <c r="O405" s="5">
        <v>2</v>
      </c>
      <c r="P405" s="3" t="s">
        <v>23</v>
      </c>
      <c r="Q405" s="5"/>
    </row>
    <row r="406" spans="1:17" ht="31">
      <c r="A406" s="5">
        <v>401</v>
      </c>
      <c r="B406" s="6" t="s">
        <v>16</v>
      </c>
      <c r="C406" s="5" t="str">
        <f>HYPERLINK("http://data.overheid.nl/data/dataset/vlakken-beheersituatie-rws-dienst-limburg","Vlakken beheersituatie RWS dienst Limburg")</f>
        <v>Vlakken beheersituatie RWS dienst Limburg</v>
      </c>
      <c r="D406" s="6" t="s">
        <v>17</v>
      </c>
      <c r="E406" s="5" t="s">
        <v>18</v>
      </c>
      <c r="F406" s="6" t="s">
        <v>813</v>
      </c>
      <c r="G406" s="5" t="s">
        <v>281</v>
      </c>
      <c r="H406" s="6" t="s">
        <v>20</v>
      </c>
      <c r="I406" s="5" t="s">
        <v>21</v>
      </c>
      <c r="J406" s="4" t="s">
        <v>22</v>
      </c>
      <c r="K406" s="2" t="s">
        <v>23</v>
      </c>
      <c r="L406" s="6" t="s">
        <v>24</v>
      </c>
      <c r="M406" s="5" t="s">
        <v>25</v>
      </c>
      <c r="N406" s="3" t="s">
        <v>26</v>
      </c>
      <c r="O406" s="5">
        <v>2</v>
      </c>
      <c r="P406" s="3" t="s">
        <v>23</v>
      </c>
      <c r="Q406" s="5"/>
    </row>
    <row r="407" spans="1:17" ht="31">
      <c r="A407" s="5">
        <v>402</v>
      </c>
      <c r="B407" s="6" t="s">
        <v>16</v>
      </c>
      <c r="C407" s="5" t="str">
        <f>HYPERLINK("http://data.overheid.nl/data/dataset/verharding-vlakken-rws-dienst-noord-brabant","verharding vlakken RWS dienst Noord-Brabant")</f>
        <v>verharding vlakken RWS dienst Noord-Brabant</v>
      </c>
      <c r="D407" s="6" t="s">
        <v>17</v>
      </c>
      <c r="E407" s="5" t="s">
        <v>18</v>
      </c>
      <c r="F407" s="6" t="s">
        <v>813</v>
      </c>
      <c r="G407" s="5" t="s">
        <v>282</v>
      </c>
      <c r="H407" s="6" t="s">
        <v>20</v>
      </c>
      <c r="I407" s="5" t="s">
        <v>21</v>
      </c>
      <c r="J407" s="4" t="s">
        <v>22</v>
      </c>
      <c r="K407" s="2" t="s">
        <v>23</v>
      </c>
      <c r="L407" s="6" t="s">
        <v>24</v>
      </c>
      <c r="M407" s="5" t="s">
        <v>25</v>
      </c>
      <c r="N407" s="3" t="s">
        <v>26</v>
      </c>
      <c r="O407" s="5">
        <v>2</v>
      </c>
      <c r="P407" s="3" t="s">
        <v>23</v>
      </c>
      <c r="Q407" s="5"/>
    </row>
    <row r="408" spans="1:17" ht="31">
      <c r="A408" s="5">
        <v>403</v>
      </c>
      <c r="B408" s="6" t="s">
        <v>16</v>
      </c>
      <c r="C408" s="5" t="str">
        <f>HYPERLINK("http://data.overheid.nl/data/dataset/verharding-vlakken-rws-dienst-limburg","verharding vlakken RWS dienst Limburg")</f>
        <v>verharding vlakken RWS dienst Limburg</v>
      </c>
      <c r="D408" s="6" t="s">
        <v>17</v>
      </c>
      <c r="E408" s="5" t="s">
        <v>18</v>
      </c>
      <c r="F408" s="6" t="s">
        <v>813</v>
      </c>
      <c r="G408" s="5" t="s">
        <v>282</v>
      </c>
      <c r="H408" s="6" t="s">
        <v>20</v>
      </c>
      <c r="I408" s="5" t="s">
        <v>21</v>
      </c>
      <c r="J408" s="4" t="s">
        <v>22</v>
      </c>
      <c r="K408" s="2" t="s">
        <v>23</v>
      </c>
      <c r="L408" s="6" t="s">
        <v>24</v>
      </c>
      <c r="M408" s="5" t="s">
        <v>25</v>
      </c>
      <c r="N408" s="3" t="s">
        <v>26</v>
      </c>
      <c r="O408" s="5">
        <v>2</v>
      </c>
      <c r="P408" s="3" t="s">
        <v>23</v>
      </c>
      <c r="Q408" s="5"/>
    </row>
    <row r="409" spans="1:17" ht="46.5">
      <c r="A409" s="5">
        <v>404</v>
      </c>
      <c r="B409" s="6" t="s">
        <v>16</v>
      </c>
      <c r="C409" s="5" t="str">
        <f>HYPERLINK("http://data.overheid.nl/data/dataset/punten-wegmeubilair-rws-dienst-limburg","Punten wegmeubilair RWS dienst Limburg")</f>
        <v>Punten wegmeubilair RWS dienst Limburg</v>
      </c>
      <c r="D409" s="6" t="s">
        <v>17</v>
      </c>
      <c r="E409" s="5" t="s">
        <v>18</v>
      </c>
      <c r="F409" s="6" t="s">
        <v>813</v>
      </c>
      <c r="G409" s="5" t="s">
        <v>259</v>
      </c>
      <c r="H409" s="6" t="s">
        <v>20</v>
      </c>
      <c r="I409" s="5" t="s">
        <v>21</v>
      </c>
      <c r="J409" s="4" t="s">
        <v>22</v>
      </c>
      <c r="K409" s="2" t="s">
        <v>23</v>
      </c>
      <c r="L409" s="6" t="s">
        <v>24</v>
      </c>
      <c r="M409" s="5" t="s">
        <v>25</v>
      </c>
      <c r="N409" s="3" t="s">
        <v>26</v>
      </c>
      <c r="O409" s="5">
        <v>4</v>
      </c>
      <c r="P409" s="3" t="s">
        <v>23</v>
      </c>
      <c r="Q409" s="5"/>
    </row>
    <row r="410" spans="1:17" ht="31">
      <c r="A410" s="5">
        <v>405</v>
      </c>
      <c r="B410" s="6" t="s">
        <v>16</v>
      </c>
      <c r="C410" s="5" t="str">
        <f>HYPERLINK("http://data.overheid.nl/data/dataset/punten-waterafvoer-rws-dienst-noord-brabant","Punten waterafvoer RWS dienst Noord-Brabant")</f>
        <v>Punten waterafvoer RWS dienst Noord-Brabant</v>
      </c>
      <c r="D410" s="6" t="s">
        <v>17</v>
      </c>
      <c r="E410" s="5" t="s">
        <v>18</v>
      </c>
      <c r="F410" s="6" t="s">
        <v>813</v>
      </c>
      <c r="G410" s="5" t="s">
        <v>260</v>
      </c>
      <c r="H410" s="6" t="s">
        <v>20</v>
      </c>
      <c r="I410" s="5" t="s">
        <v>21</v>
      </c>
      <c r="J410" s="4" t="s">
        <v>22</v>
      </c>
      <c r="K410" s="2" t="s">
        <v>23</v>
      </c>
      <c r="L410" s="6" t="s">
        <v>24</v>
      </c>
      <c r="M410" s="5" t="s">
        <v>25</v>
      </c>
      <c r="N410" s="3" t="s">
        <v>26</v>
      </c>
      <c r="O410" s="5">
        <v>2</v>
      </c>
      <c r="P410" s="3" t="s">
        <v>23</v>
      </c>
      <c r="Q410" s="5"/>
    </row>
    <row r="411" spans="1:17" ht="31">
      <c r="A411" s="5">
        <v>406</v>
      </c>
      <c r="B411" s="6" t="s">
        <v>16</v>
      </c>
      <c r="C411" s="5" t="str">
        <f>HYPERLINK("http://data.overheid.nl/data/dataset/punten-waterafvoer-rws-dienst-limburg","Punten waterafvoer RWS dienst Limburg")</f>
        <v>Punten waterafvoer RWS dienst Limburg</v>
      </c>
      <c r="D411" s="6" t="s">
        <v>17</v>
      </c>
      <c r="E411" s="5" t="s">
        <v>18</v>
      </c>
      <c r="F411" s="6" t="s">
        <v>813</v>
      </c>
      <c r="G411" s="5" t="s">
        <v>260</v>
      </c>
      <c r="H411" s="6" t="s">
        <v>20</v>
      </c>
      <c r="I411" s="5" t="s">
        <v>21</v>
      </c>
      <c r="J411" s="4" t="s">
        <v>22</v>
      </c>
      <c r="K411" s="2" t="s">
        <v>23</v>
      </c>
      <c r="L411" s="6" t="s">
        <v>24</v>
      </c>
      <c r="M411" s="5" t="s">
        <v>25</v>
      </c>
      <c r="N411" s="3" t="s">
        <v>26</v>
      </c>
      <c r="O411" s="5">
        <v>2</v>
      </c>
      <c r="P411" s="3" t="s">
        <v>23</v>
      </c>
      <c r="Q411" s="5"/>
    </row>
    <row r="412" spans="1:17" ht="31">
      <c r="A412" s="5">
        <v>407</v>
      </c>
      <c r="B412" s="6" t="s">
        <v>16</v>
      </c>
      <c r="C412" s="5" t="str">
        <f>HYPERLINK("http://data.overheid.nl/data/dataset/punten-voorzieningen-rws-dienst-noord-brabant","Punten voorzieningen RWS dienst Noord-Brabant")</f>
        <v>Punten voorzieningen RWS dienst Noord-Brabant</v>
      </c>
      <c r="D412" s="6" t="s">
        <v>17</v>
      </c>
      <c r="E412" s="5" t="s">
        <v>18</v>
      </c>
      <c r="F412" s="6" t="s">
        <v>813</v>
      </c>
      <c r="G412" s="5" t="s">
        <v>261</v>
      </c>
      <c r="H412" s="6" t="s">
        <v>20</v>
      </c>
      <c r="I412" s="5" t="s">
        <v>21</v>
      </c>
      <c r="J412" s="4" t="s">
        <v>22</v>
      </c>
      <c r="K412" s="2" t="s">
        <v>23</v>
      </c>
      <c r="L412" s="6" t="s">
        <v>24</v>
      </c>
      <c r="M412" s="5" t="s">
        <v>25</v>
      </c>
      <c r="N412" s="3" t="s">
        <v>26</v>
      </c>
      <c r="O412" s="5">
        <v>2</v>
      </c>
      <c r="P412" s="3" t="s">
        <v>23</v>
      </c>
      <c r="Q412" s="5"/>
    </row>
    <row r="413" spans="1:17" ht="31">
      <c r="A413" s="5">
        <v>408</v>
      </c>
      <c r="B413" s="6" t="s">
        <v>16</v>
      </c>
      <c r="C413" s="5" t="str">
        <f>HYPERLINK("http://data.overheid.nl/data/dataset/punten-voorzieningen-rws-dienst-limburg","Punten voorzieningen RWS dienst Limburg")</f>
        <v>Punten voorzieningen RWS dienst Limburg</v>
      </c>
      <c r="D413" s="6" t="s">
        <v>17</v>
      </c>
      <c r="E413" s="5" t="s">
        <v>18</v>
      </c>
      <c r="F413" s="6" t="s">
        <v>813</v>
      </c>
      <c r="G413" s="5" t="s">
        <v>261</v>
      </c>
      <c r="H413" s="6" t="s">
        <v>20</v>
      </c>
      <c r="I413" s="5" t="s">
        <v>21</v>
      </c>
      <c r="J413" s="4" t="s">
        <v>22</v>
      </c>
      <c r="K413" s="2" t="s">
        <v>23</v>
      </c>
      <c r="L413" s="6" t="s">
        <v>24</v>
      </c>
      <c r="M413" s="5" t="s">
        <v>25</v>
      </c>
      <c r="N413" s="3" t="s">
        <v>26</v>
      </c>
      <c r="O413" s="5">
        <v>2</v>
      </c>
      <c r="P413" s="3" t="s">
        <v>23</v>
      </c>
      <c r="Q413" s="5"/>
    </row>
    <row r="414" spans="1:17" ht="31">
      <c r="A414" s="5">
        <v>409</v>
      </c>
      <c r="B414" s="6" t="s">
        <v>16</v>
      </c>
      <c r="C414" s="5" t="str">
        <f>HYPERLINK("http://data.overheid.nl/data/dataset/punten-markering-rws-dienst-noord-brabant","Punten markering RWS dienst Noord-Brabant")</f>
        <v>Punten markering RWS dienst Noord-Brabant</v>
      </c>
      <c r="D414" s="6" t="s">
        <v>17</v>
      </c>
      <c r="E414" s="5" t="s">
        <v>18</v>
      </c>
      <c r="F414" s="6" t="s">
        <v>813</v>
      </c>
      <c r="G414" s="5" t="s">
        <v>262</v>
      </c>
      <c r="H414" s="6" t="s">
        <v>20</v>
      </c>
      <c r="I414" s="5" t="s">
        <v>21</v>
      </c>
      <c r="J414" s="4" t="s">
        <v>22</v>
      </c>
      <c r="K414" s="2" t="s">
        <v>23</v>
      </c>
      <c r="L414" s="6" t="s">
        <v>24</v>
      </c>
      <c r="M414" s="5" t="s">
        <v>25</v>
      </c>
      <c r="N414" s="3" t="s">
        <v>26</v>
      </c>
      <c r="O414" s="5">
        <v>2</v>
      </c>
      <c r="P414" s="3" t="s">
        <v>23</v>
      </c>
      <c r="Q414" s="5"/>
    </row>
    <row r="415" spans="1:17" ht="31">
      <c r="A415" s="5">
        <v>410</v>
      </c>
      <c r="B415" s="6" t="s">
        <v>16</v>
      </c>
      <c r="C415" s="5" t="str">
        <f>HYPERLINK("http://data.overheid.nl/data/dataset/punten-markering-rws-dienst-limburg","Punten markering RWS dienst Limburg")</f>
        <v>Punten markering RWS dienst Limburg</v>
      </c>
      <c r="D415" s="6" t="s">
        <v>17</v>
      </c>
      <c r="E415" s="5" t="s">
        <v>18</v>
      </c>
      <c r="F415" s="6" t="s">
        <v>813</v>
      </c>
      <c r="G415" s="5" t="s">
        <v>262</v>
      </c>
      <c r="H415" s="6" t="s">
        <v>20</v>
      </c>
      <c r="I415" s="5" t="s">
        <v>21</v>
      </c>
      <c r="J415" s="4" t="s">
        <v>22</v>
      </c>
      <c r="K415" s="2" t="s">
        <v>23</v>
      </c>
      <c r="L415" s="6" t="s">
        <v>24</v>
      </c>
      <c r="M415" s="5" t="s">
        <v>25</v>
      </c>
      <c r="N415" s="3" t="s">
        <v>26</v>
      </c>
      <c r="O415" s="5">
        <v>2</v>
      </c>
      <c r="P415" s="3" t="s">
        <v>23</v>
      </c>
      <c r="Q415" s="5"/>
    </row>
    <row r="416" spans="1:17" ht="31">
      <c r="A416" s="5">
        <v>411</v>
      </c>
      <c r="B416" s="6" t="s">
        <v>16</v>
      </c>
      <c r="C416" s="5" t="str">
        <f>HYPERLINK("http://data.overheid.nl/data/dataset/punten-lichtmast-rws-dienst-noord-brabant","Punten lichtmast RWS dienst Noord-Brabant")</f>
        <v>Punten lichtmast RWS dienst Noord-Brabant</v>
      </c>
      <c r="D416" s="6" t="s">
        <v>17</v>
      </c>
      <c r="E416" s="5" t="s">
        <v>18</v>
      </c>
      <c r="F416" s="6" t="s">
        <v>813</v>
      </c>
      <c r="G416" s="5" t="s">
        <v>283</v>
      </c>
      <c r="H416" s="6" t="s">
        <v>20</v>
      </c>
      <c r="I416" s="5" t="s">
        <v>21</v>
      </c>
      <c r="J416" s="4" t="s">
        <v>22</v>
      </c>
      <c r="K416" s="2" t="s">
        <v>23</v>
      </c>
      <c r="L416" s="6" t="s">
        <v>24</v>
      </c>
      <c r="M416" s="5" t="s">
        <v>25</v>
      </c>
      <c r="N416" s="3" t="s">
        <v>26</v>
      </c>
      <c r="O416" s="5">
        <v>2</v>
      </c>
      <c r="P416" s="3" t="s">
        <v>23</v>
      </c>
      <c r="Q416" s="5"/>
    </row>
    <row r="417" spans="1:17" ht="31">
      <c r="A417" s="5">
        <v>412</v>
      </c>
      <c r="B417" s="6" t="s">
        <v>16</v>
      </c>
      <c r="C417" s="5" t="str">
        <f>HYPERLINK("http://data.overheid.nl/data/dataset/punten-lichtmast-rws-dienst-limburg","Punten lichtmast RWS dienst Limburg")</f>
        <v>Punten lichtmast RWS dienst Limburg</v>
      </c>
      <c r="D417" s="6" t="s">
        <v>17</v>
      </c>
      <c r="E417" s="5" t="s">
        <v>18</v>
      </c>
      <c r="F417" s="6" t="s">
        <v>813</v>
      </c>
      <c r="G417" s="5" t="s">
        <v>283</v>
      </c>
      <c r="H417" s="6" t="s">
        <v>20</v>
      </c>
      <c r="I417" s="5" t="s">
        <v>21</v>
      </c>
      <c r="J417" s="4" t="s">
        <v>22</v>
      </c>
      <c r="K417" s="2" t="s">
        <v>23</v>
      </c>
      <c r="L417" s="6" t="s">
        <v>24</v>
      </c>
      <c r="M417" s="5" t="s">
        <v>25</v>
      </c>
      <c r="N417" s="3" t="s">
        <v>26</v>
      </c>
      <c r="O417" s="5">
        <v>2</v>
      </c>
      <c r="P417" s="3" t="s">
        <v>23</v>
      </c>
      <c r="Q417" s="5"/>
    </row>
    <row r="418" spans="1:17" ht="31">
      <c r="A418" s="5">
        <v>413</v>
      </c>
      <c r="B418" s="6" t="s">
        <v>16</v>
      </c>
      <c r="C418" s="5" t="str">
        <f>HYPERLINK("http://data.overheid.nl/data/dataset/punten-kunstwerken-rws-dienst-noord-brabant","Punten kunstwerken RWS dienst Noord-Brabant")</f>
        <v>Punten kunstwerken RWS dienst Noord-Brabant</v>
      </c>
      <c r="D418" s="6" t="s">
        <v>17</v>
      </c>
      <c r="E418" s="5" t="s">
        <v>18</v>
      </c>
      <c r="F418" s="6" t="s">
        <v>813</v>
      </c>
      <c r="G418" s="5" t="s">
        <v>263</v>
      </c>
      <c r="H418" s="6" t="s">
        <v>20</v>
      </c>
      <c r="I418" s="5" t="s">
        <v>21</v>
      </c>
      <c r="J418" s="4" t="s">
        <v>22</v>
      </c>
      <c r="K418" s="2" t="s">
        <v>23</v>
      </c>
      <c r="L418" s="6" t="s">
        <v>24</v>
      </c>
      <c r="M418" s="5" t="s">
        <v>25</v>
      </c>
      <c r="N418" s="3" t="s">
        <v>26</v>
      </c>
      <c r="O418" s="5">
        <v>2</v>
      </c>
      <c r="P418" s="3" t="s">
        <v>23</v>
      </c>
      <c r="Q418" s="5"/>
    </row>
    <row r="419" spans="1:17" ht="31">
      <c r="A419" s="5">
        <v>414</v>
      </c>
      <c r="B419" s="6" t="s">
        <v>16</v>
      </c>
      <c r="C419" s="5" t="str">
        <f>HYPERLINK("http://data.overheid.nl/data/dataset/punten-kunstwerken-rws-dienst-limburg","Punten kunstwerken RWS dienst Limburg")</f>
        <v>Punten kunstwerken RWS dienst Limburg</v>
      </c>
      <c r="D419" s="6" t="s">
        <v>17</v>
      </c>
      <c r="E419" s="5" t="s">
        <v>18</v>
      </c>
      <c r="F419" s="6" t="s">
        <v>813</v>
      </c>
      <c r="G419" s="5" t="s">
        <v>263</v>
      </c>
      <c r="H419" s="6" t="s">
        <v>20</v>
      </c>
      <c r="I419" s="5" t="s">
        <v>21</v>
      </c>
      <c r="J419" s="4" t="s">
        <v>22</v>
      </c>
      <c r="K419" s="2" t="s">
        <v>23</v>
      </c>
      <c r="L419" s="6" t="s">
        <v>24</v>
      </c>
      <c r="M419" s="5" t="s">
        <v>25</v>
      </c>
      <c r="N419" s="3" t="s">
        <v>26</v>
      </c>
      <c r="O419" s="5">
        <v>2</v>
      </c>
      <c r="P419" s="3" t="s">
        <v>23</v>
      </c>
      <c r="Q419" s="5"/>
    </row>
    <row r="420" spans="1:17" ht="31">
      <c r="A420" s="5">
        <v>415</v>
      </c>
      <c r="B420" s="6" t="s">
        <v>16</v>
      </c>
      <c r="C420" s="5" t="str">
        <f>HYPERLINK("http://data.overheid.nl/data/dataset/punten-hectometerborden-rws-dienst-noord-brabant","Punten hectometerborden RWS dienst Noord-Brabant")</f>
        <v>Punten hectometerborden RWS dienst Noord-Brabant</v>
      </c>
      <c r="D420" s="6" t="s">
        <v>17</v>
      </c>
      <c r="E420" s="5" t="s">
        <v>18</v>
      </c>
      <c r="F420" s="6" t="s">
        <v>813</v>
      </c>
      <c r="G420" s="5" t="s">
        <v>284</v>
      </c>
      <c r="H420" s="6" t="s">
        <v>20</v>
      </c>
      <c r="I420" s="5" t="s">
        <v>21</v>
      </c>
      <c r="J420" s="4" t="s">
        <v>22</v>
      </c>
      <c r="K420" s="2" t="s">
        <v>23</v>
      </c>
      <c r="L420" s="6" t="s">
        <v>24</v>
      </c>
      <c r="M420" s="5" t="s">
        <v>25</v>
      </c>
      <c r="N420" s="3" t="s">
        <v>26</v>
      </c>
      <c r="O420" s="5">
        <v>2</v>
      </c>
      <c r="P420" s="3" t="s">
        <v>23</v>
      </c>
      <c r="Q420" s="5"/>
    </row>
    <row r="421" spans="1:17" ht="31">
      <c r="A421" s="5">
        <v>416</v>
      </c>
      <c r="B421" s="6" t="s">
        <v>16</v>
      </c>
      <c r="C421" s="5" t="str">
        <f>HYPERLINK("http://data.overheid.nl/data/dataset/punten-hectometerborden-rws-dienst-limburg","Punten hectometerborden RWS dienst Limburg")</f>
        <v>Punten hectometerborden RWS dienst Limburg</v>
      </c>
      <c r="D421" s="6" t="s">
        <v>17</v>
      </c>
      <c r="E421" s="5" t="s">
        <v>18</v>
      </c>
      <c r="F421" s="6" t="s">
        <v>813</v>
      </c>
      <c r="G421" s="5" t="s">
        <v>284</v>
      </c>
      <c r="H421" s="6" t="s">
        <v>20</v>
      </c>
      <c r="I421" s="5" t="s">
        <v>21</v>
      </c>
      <c r="J421" s="4" t="s">
        <v>22</v>
      </c>
      <c r="K421" s="2" t="s">
        <v>23</v>
      </c>
      <c r="L421" s="6" t="s">
        <v>24</v>
      </c>
      <c r="M421" s="5" t="s">
        <v>25</v>
      </c>
      <c r="N421" s="3" t="s">
        <v>26</v>
      </c>
      <c r="O421" s="5">
        <v>2</v>
      </c>
      <c r="P421" s="3" t="s">
        <v>23</v>
      </c>
      <c r="Q421" s="5"/>
    </row>
    <row r="422" spans="1:17" ht="31">
      <c r="A422" s="5">
        <v>417</v>
      </c>
      <c r="B422" s="6" t="s">
        <v>16</v>
      </c>
      <c r="C422" s="5" t="str">
        <f>HYPERLINK("http://data.overheid.nl/data/dataset/punten-groen-rws-dienst-noord-brabant","Punten groen RWS dienst Noord-Brabant")</f>
        <v>Punten groen RWS dienst Noord-Brabant</v>
      </c>
      <c r="D422" s="6" t="s">
        <v>17</v>
      </c>
      <c r="E422" s="5" t="s">
        <v>18</v>
      </c>
      <c r="F422" s="6" t="s">
        <v>813</v>
      </c>
      <c r="G422" s="5" t="s">
        <v>285</v>
      </c>
      <c r="H422" s="6" t="s">
        <v>20</v>
      </c>
      <c r="I422" s="5" t="s">
        <v>21</v>
      </c>
      <c r="J422" s="4" t="s">
        <v>22</v>
      </c>
      <c r="K422" s="2" t="s">
        <v>23</v>
      </c>
      <c r="L422" s="6" t="s">
        <v>24</v>
      </c>
      <c r="M422" s="5" t="s">
        <v>25</v>
      </c>
      <c r="N422" s="3" t="s">
        <v>26</v>
      </c>
      <c r="O422" s="5">
        <v>2</v>
      </c>
      <c r="P422" s="3" t="s">
        <v>23</v>
      </c>
      <c r="Q422" s="5"/>
    </row>
    <row r="423" spans="1:17" ht="31">
      <c r="A423" s="5">
        <v>418</v>
      </c>
      <c r="B423" s="6" t="s">
        <v>16</v>
      </c>
      <c r="C423" s="5" t="str">
        <f>HYPERLINK("http://data.overheid.nl/data/dataset/punten-groen-rws-dienst-limburg","Punten groen RWS dienst Limburg")</f>
        <v>Punten groen RWS dienst Limburg</v>
      </c>
      <c r="D423" s="6" t="s">
        <v>17</v>
      </c>
      <c r="E423" s="5" t="s">
        <v>18</v>
      </c>
      <c r="F423" s="6" t="s">
        <v>813</v>
      </c>
      <c r="G423" s="5" t="s">
        <v>285</v>
      </c>
      <c r="H423" s="6" t="s">
        <v>20</v>
      </c>
      <c r="I423" s="5" t="s">
        <v>21</v>
      </c>
      <c r="J423" s="4" t="s">
        <v>22</v>
      </c>
      <c r="K423" s="2" t="s">
        <v>23</v>
      </c>
      <c r="L423" s="6" t="s">
        <v>24</v>
      </c>
      <c r="M423" s="5" t="s">
        <v>25</v>
      </c>
      <c r="N423" s="3" t="s">
        <v>26</v>
      </c>
      <c r="O423" s="5">
        <v>2</v>
      </c>
      <c r="P423" s="3" t="s">
        <v>23</v>
      </c>
      <c r="Q423" s="5"/>
    </row>
    <row r="424" spans="1:17" ht="31">
      <c r="A424" s="5">
        <v>419</v>
      </c>
      <c r="B424" s="6" t="s">
        <v>16</v>
      </c>
      <c r="C424" s="5" t="str">
        <f>HYPERLINK("http://data.overheid.nl/data/dataset/markering-vlakken-rws-dienst-noord-brabant","markering vlakken RWS dienst Noord-Brabant")</f>
        <v>markering vlakken RWS dienst Noord-Brabant</v>
      </c>
      <c r="D424" s="6" t="s">
        <v>17</v>
      </c>
      <c r="E424" s="5" t="s">
        <v>18</v>
      </c>
      <c r="F424" s="6" t="s">
        <v>813</v>
      </c>
      <c r="G424" s="5" t="s">
        <v>264</v>
      </c>
      <c r="H424" s="6" t="s">
        <v>20</v>
      </c>
      <c r="I424" s="5" t="s">
        <v>21</v>
      </c>
      <c r="J424" s="4" t="s">
        <v>22</v>
      </c>
      <c r="K424" s="2" t="s">
        <v>23</v>
      </c>
      <c r="L424" s="6" t="s">
        <v>24</v>
      </c>
      <c r="M424" s="5" t="s">
        <v>25</v>
      </c>
      <c r="N424" s="3" t="s">
        <v>26</v>
      </c>
      <c r="O424" s="5">
        <v>2</v>
      </c>
      <c r="P424" s="3" t="s">
        <v>23</v>
      </c>
      <c r="Q424" s="5"/>
    </row>
    <row r="425" spans="1:17" ht="31">
      <c r="A425" s="5">
        <v>420</v>
      </c>
      <c r="B425" s="6" t="s">
        <v>16</v>
      </c>
      <c r="C425" s="5" t="str">
        <f>HYPERLINK("http://data.overheid.nl/data/dataset/markering-vlakken-rws-dienst-limburg","markering vlakken RWS dienst Limburg")</f>
        <v>markering vlakken RWS dienst Limburg</v>
      </c>
      <c r="D425" s="6" t="s">
        <v>17</v>
      </c>
      <c r="E425" s="5" t="s">
        <v>18</v>
      </c>
      <c r="F425" s="6" t="s">
        <v>813</v>
      </c>
      <c r="G425" s="5" t="s">
        <v>264</v>
      </c>
      <c r="H425" s="6" t="s">
        <v>20</v>
      </c>
      <c r="I425" s="5" t="s">
        <v>21</v>
      </c>
      <c r="J425" s="4" t="s">
        <v>22</v>
      </c>
      <c r="K425" s="2" t="s">
        <v>23</v>
      </c>
      <c r="L425" s="6" t="s">
        <v>24</v>
      </c>
      <c r="M425" s="5" t="s">
        <v>25</v>
      </c>
      <c r="N425" s="3" t="s">
        <v>26</v>
      </c>
      <c r="O425" s="5">
        <v>2</v>
      </c>
      <c r="P425" s="3" t="s">
        <v>23</v>
      </c>
      <c r="Q425" s="5"/>
    </row>
    <row r="426" spans="1:17" ht="31">
      <c r="A426" s="5">
        <v>421</v>
      </c>
      <c r="B426" s="6" t="s">
        <v>16</v>
      </c>
      <c r="C426" s="5" t="str">
        <f>HYPERLINK("http://data.overheid.nl/data/dataset/lijnen-wegmeubilair-rws-dienst-noord-brabant","Lijnen wegmeubilair RWS dienst Noord-Brabant")</f>
        <v>Lijnen wegmeubilair RWS dienst Noord-Brabant</v>
      </c>
      <c r="D426" s="6" t="s">
        <v>17</v>
      </c>
      <c r="E426" s="5" t="s">
        <v>18</v>
      </c>
      <c r="F426" s="6" t="s">
        <v>813</v>
      </c>
      <c r="G426" s="5" t="s">
        <v>265</v>
      </c>
      <c r="H426" s="6" t="s">
        <v>20</v>
      </c>
      <c r="I426" s="5" t="s">
        <v>21</v>
      </c>
      <c r="J426" s="4" t="s">
        <v>22</v>
      </c>
      <c r="K426" s="2" t="s">
        <v>23</v>
      </c>
      <c r="L426" s="6" t="s">
        <v>24</v>
      </c>
      <c r="M426" s="5" t="s">
        <v>25</v>
      </c>
      <c r="N426" s="3" t="s">
        <v>26</v>
      </c>
      <c r="O426" s="5">
        <v>2</v>
      </c>
      <c r="P426" s="3" t="s">
        <v>23</v>
      </c>
      <c r="Q426" s="5"/>
    </row>
    <row r="427" spans="1:17" ht="31">
      <c r="A427" s="5">
        <v>422</v>
      </c>
      <c r="B427" s="6" t="s">
        <v>16</v>
      </c>
      <c r="C427" s="5" t="str">
        <f>HYPERLINK("http://data.overheid.nl/data/dataset/lijnen-wegmeubilair-rws-dienst-limburg","Lijnen wegmeubilair RWS dienst Limburg")</f>
        <v>Lijnen wegmeubilair RWS dienst Limburg</v>
      </c>
      <c r="D427" s="6" t="s">
        <v>17</v>
      </c>
      <c r="E427" s="5" t="s">
        <v>18</v>
      </c>
      <c r="F427" s="6" t="s">
        <v>813</v>
      </c>
      <c r="G427" s="5" t="s">
        <v>265</v>
      </c>
      <c r="H427" s="6" t="s">
        <v>20</v>
      </c>
      <c r="I427" s="5" t="s">
        <v>21</v>
      </c>
      <c r="J427" s="4" t="s">
        <v>22</v>
      </c>
      <c r="K427" s="2" t="s">
        <v>23</v>
      </c>
      <c r="L427" s="6" t="s">
        <v>24</v>
      </c>
      <c r="M427" s="5" t="s">
        <v>25</v>
      </c>
      <c r="N427" s="3" t="s">
        <v>26</v>
      </c>
      <c r="O427" s="5">
        <v>2</v>
      </c>
      <c r="P427" s="3" t="s">
        <v>23</v>
      </c>
      <c r="Q427" s="5"/>
    </row>
    <row r="428" spans="1:17" ht="77.5">
      <c r="A428" s="5">
        <v>423</v>
      </c>
      <c r="B428" s="6" t="s">
        <v>16</v>
      </c>
      <c r="C428" s="5" t="str">
        <f>HYPERLINK("http://data.overheid.nl/data/dataset/lijnen-waterafvoer-rws-dienst-noord-brabant","Lijnen waterafvoer RWS dienst Noord-Brabant")</f>
        <v>Lijnen waterafvoer RWS dienst Noord-Brabant</v>
      </c>
      <c r="D428" s="6" t="s">
        <v>17</v>
      </c>
      <c r="E428" s="5" t="s">
        <v>18</v>
      </c>
      <c r="F428" s="6" t="s">
        <v>813</v>
      </c>
      <c r="G428" s="2" t="s">
        <v>256</v>
      </c>
      <c r="H428" s="6" t="s">
        <v>20</v>
      </c>
      <c r="I428" s="5" t="s">
        <v>21</v>
      </c>
      <c r="J428" s="4" t="s">
        <v>22</v>
      </c>
      <c r="K428" s="2" t="s">
        <v>23</v>
      </c>
      <c r="L428" s="6" t="s">
        <v>24</v>
      </c>
      <c r="M428" s="5" t="s">
        <v>25</v>
      </c>
      <c r="N428" s="3" t="s">
        <v>26</v>
      </c>
      <c r="O428" s="5">
        <v>2</v>
      </c>
      <c r="P428" s="3" t="s">
        <v>23</v>
      </c>
      <c r="Q428" s="5"/>
    </row>
    <row r="429" spans="1:17" ht="77.5">
      <c r="A429" s="5">
        <v>424</v>
      </c>
      <c r="B429" s="6" t="s">
        <v>16</v>
      </c>
      <c r="C429" s="5" t="str">
        <f>HYPERLINK("http://data.overheid.nl/data/dataset/lijnen-waterafvoer-rws-dienst-limburg","Lijnen waterafvoer RWS dienst Limburg")</f>
        <v>Lijnen waterafvoer RWS dienst Limburg</v>
      </c>
      <c r="D429" s="6" t="s">
        <v>17</v>
      </c>
      <c r="E429" s="5" t="s">
        <v>18</v>
      </c>
      <c r="F429" s="6" t="s">
        <v>813</v>
      </c>
      <c r="G429" s="2" t="s">
        <v>256</v>
      </c>
      <c r="H429" s="6" t="s">
        <v>20</v>
      </c>
      <c r="I429" s="5" t="s">
        <v>21</v>
      </c>
      <c r="J429" s="4" t="s">
        <v>22</v>
      </c>
      <c r="K429" s="2" t="s">
        <v>23</v>
      </c>
      <c r="L429" s="6" t="s">
        <v>24</v>
      </c>
      <c r="M429" s="5" t="s">
        <v>25</v>
      </c>
      <c r="N429" s="3" t="s">
        <v>26</v>
      </c>
      <c r="O429" s="5">
        <v>2</v>
      </c>
      <c r="P429" s="3" t="s">
        <v>23</v>
      </c>
      <c r="Q429" s="5"/>
    </row>
    <row r="430" spans="1:17" ht="31">
      <c r="A430" s="5">
        <v>425</v>
      </c>
      <c r="B430" s="6" t="s">
        <v>16</v>
      </c>
      <c r="C430" s="5" t="str">
        <f>HYPERLINK("http://data.overheid.nl/data/dataset/lijnen-openbare-verlichting-rws-dienst-noord-brabant","Lijnen openbare verlichting RWS dienst Noord-Brabant")</f>
        <v>Lijnen openbare verlichting RWS dienst Noord-Brabant</v>
      </c>
      <c r="D430" s="6" t="s">
        <v>17</v>
      </c>
      <c r="E430" s="5" t="s">
        <v>18</v>
      </c>
      <c r="F430" s="6" t="s">
        <v>813</v>
      </c>
      <c r="G430" s="5" t="s">
        <v>266</v>
      </c>
      <c r="H430" s="6" t="s">
        <v>20</v>
      </c>
      <c r="I430" s="5" t="s">
        <v>21</v>
      </c>
      <c r="J430" s="4" t="s">
        <v>22</v>
      </c>
      <c r="K430" s="2" t="s">
        <v>23</v>
      </c>
      <c r="L430" s="6" t="s">
        <v>24</v>
      </c>
      <c r="M430" s="5" t="s">
        <v>25</v>
      </c>
      <c r="N430" s="3" t="s">
        <v>26</v>
      </c>
      <c r="O430" s="5">
        <v>2</v>
      </c>
      <c r="P430" s="3" t="s">
        <v>23</v>
      </c>
      <c r="Q430" s="5"/>
    </row>
    <row r="431" spans="1:17" ht="31">
      <c r="A431" s="5">
        <v>426</v>
      </c>
      <c r="B431" s="6" t="s">
        <v>16</v>
      </c>
      <c r="C431" s="5" t="str">
        <f>HYPERLINK("http://data.overheid.nl/data/dataset/lijnen-openbare-verlichting-rws-dienst-limburg","Lijnen openbare verlichting RWS dienst Limburg")</f>
        <v>Lijnen openbare verlichting RWS dienst Limburg</v>
      </c>
      <c r="D431" s="6" t="s">
        <v>17</v>
      </c>
      <c r="E431" s="5" t="s">
        <v>18</v>
      </c>
      <c r="F431" s="6" t="s">
        <v>813</v>
      </c>
      <c r="G431" s="5" t="s">
        <v>266</v>
      </c>
      <c r="H431" s="6" t="s">
        <v>20</v>
      </c>
      <c r="I431" s="5" t="s">
        <v>21</v>
      </c>
      <c r="J431" s="4" t="s">
        <v>22</v>
      </c>
      <c r="K431" s="2" t="s">
        <v>23</v>
      </c>
      <c r="L431" s="6" t="s">
        <v>24</v>
      </c>
      <c r="M431" s="5" t="s">
        <v>25</v>
      </c>
      <c r="N431" s="3" t="s">
        <v>26</v>
      </c>
      <c r="O431" s="5">
        <v>2</v>
      </c>
      <c r="P431" s="3" t="s">
        <v>23</v>
      </c>
      <c r="Q431" s="5"/>
    </row>
    <row r="432" spans="1:17" ht="31">
      <c r="A432" s="5">
        <v>427</v>
      </c>
      <c r="B432" s="6" t="s">
        <v>16</v>
      </c>
      <c r="C432" s="5" t="str">
        <f>HYPERLINK("http://data.overheid.nl/data/dataset/lijnen-markering-rws-dienst-noord-brabant","Lijnen markering RWS dienst Noord-Brabant")</f>
        <v>Lijnen markering RWS dienst Noord-Brabant</v>
      </c>
      <c r="D432" s="6" t="s">
        <v>17</v>
      </c>
      <c r="E432" s="5" t="s">
        <v>18</v>
      </c>
      <c r="F432" s="6" t="s">
        <v>813</v>
      </c>
      <c r="G432" s="5" t="s">
        <v>286</v>
      </c>
      <c r="H432" s="6" t="s">
        <v>20</v>
      </c>
      <c r="I432" s="5" t="s">
        <v>21</v>
      </c>
      <c r="J432" s="4" t="s">
        <v>22</v>
      </c>
      <c r="K432" s="2" t="s">
        <v>23</v>
      </c>
      <c r="L432" s="6" t="s">
        <v>24</v>
      </c>
      <c r="M432" s="5" t="s">
        <v>25</v>
      </c>
      <c r="N432" s="3" t="s">
        <v>26</v>
      </c>
      <c r="O432" s="5">
        <v>2</v>
      </c>
      <c r="P432" s="3" t="s">
        <v>23</v>
      </c>
      <c r="Q432" s="5"/>
    </row>
    <row r="433" spans="1:17" ht="31">
      <c r="A433" s="5">
        <v>428</v>
      </c>
      <c r="B433" s="6" t="s">
        <v>16</v>
      </c>
      <c r="C433" s="5" t="str">
        <f>HYPERLINK("http://data.overheid.nl/data/dataset/lijnen-markering-rws-dienst-limburg","Lijnen markering RWS dienst Limburg")</f>
        <v>Lijnen markering RWS dienst Limburg</v>
      </c>
      <c r="D433" s="6" t="s">
        <v>17</v>
      </c>
      <c r="E433" s="5" t="s">
        <v>18</v>
      </c>
      <c r="F433" s="6" t="s">
        <v>813</v>
      </c>
      <c r="G433" s="5" t="s">
        <v>286</v>
      </c>
      <c r="H433" s="6" t="s">
        <v>20</v>
      </c>
      <c r="I433" s="5" t="s">
        <v>21</v>
      </c>
      <c r="J433" s="4" t="s">
        <v>22</v>
      </c>
      <c r="K433" s="2" t="s">
        <v>23</v>
      </c>
      <c r="L433" s="6" t="s">
        <v>24</v>
      </c>
      <c r="M433" s="5" t="s">
        <v>25</v>
      </c>
      <c r="N433" s="3" t="s">
        <v>26</v>
      </c>
      <c r="O433" s="5">
        <v>2</v>
      </c>
      <c r="P433" s="3" t="s">
        <v>23</v>
      </c>
      <c r="Q433" s="5"/>
    </row>
    <row r="434" spans="1:17" ht="31">
      <c r="A434" s="5">
        <v>429</v>
      </c>
      <c r="B434" s="6" t="s">
        <v>16</v>
      </c>
      <c r="C434" s="5" t="str">
        <f>HYPERLINK("http://data.overheid.nl/data/dataset/lijnen-kunstwerken-rws-dienst-noord-brabant","Lijnen kunstwerken RWS dienst Noord-Brabant")</f>
        <v>Lijnen kunstwerken RWS dienst Noord-Brabant</v>
      </c>
      <c r="D434" s="6" t="s">
        <v>17</v>
      </c>
      <c r="E434" s="5" t="s">
        <v>18</v>
      </c>
      <c r="F434" s="6" t="s">
        <v>813</v>
      </c>
      <c r="G434" s="5" t="s">
        <v>267</v>
      </c>
      <c r="H434" s="6" t="s">
        <v>20</v>
      </c>
      <c r="I434" s="5" t="s">
        <v>21</v>
      </c>
      <c r="J434" s="4" t="s">
        <v>22</v>
      </c>
      <c r="K434" s="2" t="s">
        <v>23</v>
      </c>
      <c r="L434" s="6" t="s">
        <v>24</v>
      </c>
      <c r="M434" s="5" t="s">
        <v>25</v>
      </c>
      <c r="N434" s="3" t="s">
        <v>26</v>
      </c>
      <c r="O434" s="5">
        <v>2</v>
      </c>
      <c r="P434" s="3" t="s">
        <v>23</v>
      </c>
      <c r="Q434" s="5"/>
    </row>
    <row r="435" spans="1:17" ht="31">
      <c r="A435" s="5">
        <v>430</v>
      </c>
      <c r="B435" s="6" t="s">
        <v>16</v>
      </c>
      <c r="C435" s="5" t="str">
        <f>HYPERLINK("http://data.overheid.nl/data/dataset/lijnen-kunstwerken-rws-dienst-limburg","Lijnen kunstwerken RWS dienst Limburg")</f>
        <v>Lijnen kunstwerken RWS dienst Limburg</v>
      </c>
      <c r="D435" s="6" t="s">
        <v>17</v>
      </c>
      <c r="E435" s="5" t="s">
        <v>18</v>
      </c>
      <c r="F435" s="6" t="s">
        <v>813</v>
      </c>
      <c r="G435" s="5" t="s">
        <v>267</v>
      </c>
      <c r="H435" s="6" t="s">
        <v>20</v>
      </c>
      <c r="I435" s="5" t="s">
        <v>21</v>
      </c>
      <c r="J435" s="4" t="s">
        <v>22</v>
      </c>
      <c r="K435" s="2" t="s">
        <v>23</v>
      </c>
      <c r="L435" s="6" t="s">
        <v>24</v>
      </c>
      <c r="M435" s="5" t="s">
        <v>25</v>
      </c>
      <c r="N435" s="3" t="s">
        <v>26</v>
      </c>
      <c r="O435" s="5">
        <v>2</v>
      </c>
      <c r="P435" s="3" t="s">
        <v>23</v>
      </c>
      <c r="Q435" s="5"/>
    </row>
    <row r="436" spans="1:17" ht="31">
      <c r="A436" s="5">
        <v>431</v>
      </c>
      <c r="B436" s="6" t="s">
        <v>16</v>
      </c>
      <c r="C436" s="5" t="str">
        <f>HYPERLINK("http://data.overheid.nl/data/dataset/lijnen-groen-rws-dienst-noord-brabant","Lijnen groen RWS dienst Noord-Brabant")</f>
        <v>Lijnen groen RWS dienst Noord-Brabant</v>
      </c>
      <c r="D436" s="6" t="s">
        <v>17</v>
      </c>
      <c r="E436" s="5" t="s">
        <v>18</v>
      </c>
      <c r="F436" s="6" t="s">
        <v>813</v>
      </c>
      <c r="G436" s="5" t="s">
        <v>287</v>
      </c>
      <c r="H436" s="6" t="s">
        <v>20</v>
      </c>
      <c r="I436" s="5" t="s">
        <v>21</v>
      </c>
      <c r="J436" s="4" t="s">
        <v>22</v>
      </c>
      <c r="K436" s="2" t="s">
        <v>23</v>
      </c>
      <c r="L436" s="6" t="s">
        <v>24</v>
      </c>
      <c r="M436" s="5" t="s">
        <v>25</v>
      </c>
      <c r="N436" s="3" t="s">
        <v>26</v>
      </c>
      <c r="O436" s="5">
        <v>2</v>
      </c>
      <c r="P436" s="3" t="s">
        <v>23</v>
      </c>
      <c r="Q436" s="5"/>
    </row>
    <row r="437" spans="1:17" ht="31">
      <c r="A437" s="5">
        <v>432</v>
      </c>
      <c r="B437" s="6" t="s">
        <v>16</v>
      </c>
      <c r="C437" s="5" t="str">
        <f>HYPERLINK("http://data.overheid.nl/data/dataset/lijnen-groen-rws-dienst-limburg","Lijnen groen RWS dienst Limburg")</f>
        <v>Lijnen groen RWS dienst Limburg</v>
      </c>
      <c r="D437" s="6" t="s">
        <v>17</v>
      </c>
      <c r="E437" s="5" t="s">
        <v>18</v>
      </c>
      <c r="F437" s="6" t="s">
        <v>813</v>
      </c>
      <c r="G437" s="5" t="s">
        <v>287</v>
      </c>
      <c r="H437" s="6" t="s">
        <v>20</v>
      </c>
      <c r="I437" s="5" t="s">
        <v>21</v>
      </c>
      <c r="J437" s="4" t="s">
        <v>22</v>
      </c>
      <c r="K437" s="2" t="s">
        <v>23</v>
      </c>
      <c r="L437" s="6" t="s">
        <v>24</v>
      </c>
      <c r="M437" s="5" t="s">
        <v>25</v>
      </c>
      <c r="N437" s="3" t="s">
        <v>26</v>
      </c>
      <c r="O437" s="5">
        <v>2</v>
      </c>
      <c r="P437" s="3" t="s">
        <v>23</v>
      </c>
      <c r="Q437" s="5"/>
    </row>
    <row r="438" spans="1:17" ht="31">
      <c r="A438" s="5">
        <v>433</v>
      </c>
      <c r="B438" s="6" t="s">
        <v>16</v>
      </c>
      <c r="C438" s="5" t="str">
        <f>HYPERLINK("http://data.overheid.nl/data/dataset/lijnen-geleideconstructie-rws-dienst-noord-brabant","Lijnen geleideconstructie RWS dienst Noord-Brabant")</f>
        <v>Lijnen geleideconstructie RWS dienst Noord-Brabant</v>
      </c>
      <c r="D438" s="6" t="s">
        <v>17</v>
      </c>
      <c r="E438" s="5" t="s">
        <v>18</v>
      </c>
      <c r="F438" s="6" t="s">
        <v>813</v>
      </c>
      <c r="G438" s="5" t="s">
        <v>288</v>
      </c>
      <c r="H438" s="6" t="s">
        <v>20</v>
      </c>
      <c r="I438" s="5" t="s">
        <v>21</v>
      </c>
      <c r="J438" s="4" t="s">
        <v>22</v>
      </c>
      <c r="K438" s="2" t="s">
        <v>23</v>
      </c>
      <c r="L438" s="6" t="s">
        <v>24</v>
      </c>
      <c r="M438" s="5" t="s">
        <v>25</v>
      </c>
      <c r="N438" s="3" t="s">
        <v>26</v>
      </c>
      <c r="O438" s="5">
        <v>2</v>
      </c>
      <c r="P438" s="3" t="s">
        <v>23</v>
      </c>
      <c r="Q438" s="5"/>
    </row>
    <row r="439" spans="1:17" ht="31">
      <c r="A439" s="5">
        <v>434</v>
      </c>
      <c r="B439" s="6" t="s">
        <v>16</v>
      </c>
      <c r="C439" s="5" t="str">
        <f>HYPERLINK("http://data.overheid.nl/data/dataset/lijnen-geleideconstructie-rws-dienst-limburg","Lijnen geleideconstructie RWS dienst Limburg")</f>
        <v>Lijnen geleideconstructie RWS dienst Limburg</v>
      </c>
      <c r="D439" s="6" t="s">
        <v>17</v>
      </c>
      <c r="E439" s="5" t="s">
        <v>18</v>
      </c>
      <c r="F439" s="6" t="s">
        <v>813</v>
      </c>
      <c r="G439" s="5" t="s">
        <v>288</v>
      </c>
      <c r="H439" s="6" t="s">
        <v>20</v>
      </c>
      <c r="I439" s="5" t="s">
        <v>21</v>
      </c>
      <c r="J439" s="4" t="s">
        <v>22</v>
      </c>
      <c r="K439" s="2" t="s">
        <v>23</v>
      </c>
      <c r="L439" s="6" t="s">
        <v>24</v>
      </c>
      <c r="M439" s="5" t="s">
        <v>25</v>
      </c>
      <c r="N439" s="3" t="s">
        <v>26</v>
      </c>
      <c r="O439" s="5">
        <v>2</v>
      </c>
      <c r="P439" s="3" t="s">
        <v>23</v>
      </c>
      <c r="Q439" s="5"/>
    </row>
    <row r="440" spans="1:17" ht="31">
      <c r="A440" s="5">
        <v>435</v>
      </c>
      <c r="B440" s="6" t="s">
        <v>16</v>
      </c>
      <c r="C440" s="5" t="str">
        <f>HYPERLINK("http://data.overheid.nl/data/dataset/groenbeheer-vlakken-rws-dienst-noord-brabant","groenbeheer vlakken RWS dienst Noord-Brabant")</f>
        <v>groenbeheer vlakken RWS dienst Noord-Brabant</v>
      </c>
      <c r="D440" s="6" t="s">
        <v>17</v>
      </c>
      <c r="E440" s="5" t="s">
        <v>18</v>
      </c>
      <c r="F440" s="6" t="s">
        <v>813</v>
      </c>
      <c r="G440" s="5" t="s">
        <v>289</v>
      </c>
      <c r="H440" s="6" t="s">
        <v>20</v>
      </c>
      <c r="I440" s="5" t="s">
        <v>21</v>
      </c>
      <c r="J440" s="4" t="s">
        <v>22</v>
      </c>
      <c r="K440" s="2" t="s">
        <v>23</v>
      </c>
      <c r="L440" s="6" t="s">
        <v>24</v>
      </c>
      <c r="M440" s="5" t="s">
        <v>25</v>
      </c>
      <c r="N440" s="3" t="s">
        <v>26</v>
      </c>
      <c r="O440" s="5">
        <v>2</v>
      </c>
      <c r="P440" s="3" t="s">
        <v>23</v>
      </c>
      <c r="Q440" s="5"/>
    </row>
    <row r="441" spans="1:17" ht="31">
      <c r="A441" s="5">
        <v>436</v>
      </c>
      <c r="B441" s="6" t="s">
        <v>16</v>
      </c>
      <c r="C441" s="5" t="str">
        <f>HYPERLINK("http://data.overheid.nl/data/dataset/groenbeheer-vlakken-rws-dienst-limburg","groenbeheer vlakken RWS dienst Limburg")</f>
        <v>groenbeheer vlakken RWS dienst Limburg</v>
      </c>
      <c r="D441" s="6" t="s">
        <v>17</v>
      </c>
      <c r="E441" s="5" t="s">
        <v>18</v>
      </c>
      <c r="F441" s="6" t="s">
        <v>813</v>
      </c>
      <c r="G441" s="5" t="s">
        <v>289</v>
      </c>
      <c r="H441" s="6" t="s">
        <v>20</v>
      </c>
      <c r="I441" s="5" t="s">
        <v>21</v>
      </c>
      <c r="J441" s="4" t="s">
        <v>22</v>
      </c>
      <c r="K441" s="2" t="s">
        <v>23</v>
      </c>
      <c r="L441" s="6" t="s">
        <v>24</v>
      </c>
      <c r="M441" s="5" t="s">
        <v>25</v>
      </c>
      <c r="N441" s="3" t="s">
        <v>26</v>
      </c>
      <c r="O441" s="5">
        <v>2</v>
      </c>
      <c r="P441" s="3" t="s">
        <v>23</v>
      </c>
      <c r="Q441" s="5"/>
    </row>
    <row r="442" spans="1:17" ht="31">
      <c r="A442" s="5">
        <v>437</v>
      </c>
      <c r="B442" s="6" t="s">
        <v>16</v>
      </c>
      <c r="C442" s="5" t="str">
        <f>HYPERLINK("http://data.overheid.nl/data/dataset/vaargeulen-nederlands-continentaal-plat","Vaargeulen Nederlands Continentaal Plat")</f>
        <v>Vaargeulen Nederlands Continentaal Plat</v>
      </c>
      <c r="D442" s="6" t="s">
        <v>17</v>
      </c>
      <c r="E442" s="5" t="s">
        <v>18</v>
      </c>
      <c r="F442" s="6" t="s">
        <v>813</v>
      </c>
      <c r="G442" s="5" t="s">
        <v>306</v>
      </c>
      <c r="H442" s="6" t="s">
        <v>20</v>
      </c>
      <c r="I442" s="5" t="s">
        <v>21</v>
      </c>
      <c r="J442" s="4" t="s">
        <v>22</v>
      </c>
      <c r="K442" s="2" t="s">
        <v>23</v>
      </c>
      <c r="L442" s="6" t="s">
        <v>24</v>
      </c>
      <c r="M442" s="5" t="s">
        <v>25</v>
      </c>
      <c r="N442" s="3" t="s">
        <v>26</v>
      </c>
      <c r="O442" s="5">
        <v>6</v>
      </c>
      <c r="P442" s="3" t="s">
        <v>23</v>
      </c>
      <c r="Q442" s="5"/>
    </row>
    <row r="443" spans="1:17" ht="77.5">
      <c r="A443" s="5">
        <v>438</v>
      </c>
      <c r="B443" s="6" t="s">
        <v>16</v>
      </c>
      <c r="C443" s="5" t="str">
        <f>HYPERLINK("http://data.overheid.nl/data/dataset/breedte-kunstwerken-dnb","Breedte kunstwerken DNB")</f>
        <v>Breedte kunstwerken DNB</v>
      </c>
      <c r="D443" s="6" t="s">
        <v>17</v>
      </c>
      <c r="E443" s="5" t="s">
        <v>18</v>
      </c>
      <c r="F443" s="6" t="s">
        <v>813</v>
      </c>
      <c r="G443" s="5" t="s">
        <v>307</v>
      </c>
      <c r="H443" s="6" t="s">
        <v>20</v>
      </c>
      <c r="I443" s="5" t="s">
        <v>21</v>
      </c>
      <c r="J443" s="4" t="s">
        <v>22</v>
      </c>
      <c r="K443" s="2" t="s">
        <v>23</v>
      </c>
      <c r="L443" s="6" t="s">
        <v>24</v>
      </c>
      <c r="M443" s="5" t="s">
        <v>25</v>
      </c>
      <c r="N443" s="3" t="s">
        <v>26</v>
      </c>
      <c r="O443" s="5">
        <v>2</v>
      </c>
      <c r="P443" s="3" t="s">
        <v>23</v>
      </c>
      <c r="Q443" s="5"/>
    </row>
    <row r="444" spans="1:17" ht="186">
      <c r="A444" s="5">
        <v>439</v>
      </c>
      <c r="B444" s="6" t="s">
        <v>16</v>
      </c>
      <c r="C444" s="5" t="str">
        <f>HYPERLINK("http://data.overheid.nl/data/dataset/locaties-helicopterfotos-20120220","Locaties helicopterfotos 20120220")</f>
        <v>Locaties helicopterfotos 20120220</v>
      </c>
      <c r="D444" s="6" t="s">
        <v>17</v>
      </c>
      <c r="E444" s="5" t="s">
        <v>18</v>
      </c>
      <c r="F444" s="6" t="s">
        <v>813</v>
      </c>
      <c r="G444" s="5" t="s">
        <v>308</v>
      </c>
      <c r="H444" s="6" t="s">
        <v>20</v>
      </c>
      <c r="I444" s="5" t="s">
        <v>21</v>
      </c>
      <c r="J444" s="4" t="s">
        <v>22</v>
      </c>
      <c r="K444" s="2" t="s">
        <v>23</v>
      </c>
      <c r="L444" s="6" t="s">
        <v>24</v>
      </c>
      <c r="M444" s="5" t="s">
        <v>25</v>
      </c>
      <c r="N444" s="3" t="s">
        <v>26</v>
      </c>
      <c r="O444" s="5">
        <v>2</v>
      </c>
      <c r="P444" s="3" t="s">
        <v>23</v>
      </c>
      <c r="Q444" s="5"/>
    </row>
    <row r="445" spans="1:17" ht="93">
      <c r="A445" s="5">
        <v>440</v>
      </c>
      <c r="B445" s="6" t="s">
        <v>16</v>
      </c>
      <c r="C445" s="5" t="str">
        <f>HYPERLINK("http://data.overheid.nl/data/dataset/gebiedsschematisatie-westerschelde","Gebiedsschematisatie Westerschelde")</f>
        <v>Gebiedsschematisatie Westerschelde</v>
      </c>
      <c r="D445" s="6" t="s">
        <v>17</v>
      </c>
      <c r="E445" s="5" t="s">
        <v>18</v>
      </c>
      <c r="F445" s="6" t="s">
        <v>813</v>
      </c>
      <c r="G445" s="5" t="s">
        <v>309</v>
      </c>
      <c r="H445" s="6" t="s">
        <v>20</v>
      </c>
      <c r="I445" s="5" t="s">
        <v>21</v>
      </c>
      <c r="J445" s="4" t="s">
        <v>22</v>
      </c>
      <c r="K445" s="2" t="s">
        <v>23</v>
      </c>
      <c r="L445" s="6" t="s">
        <v>24</v>
      </c>
      <c r="M445" s="5" t="s">
        <v>25</v>
      </c>
      <c r="N445" s="3" t="s">
        <v>26</v>
      </c>
      <c r="O445" s="5">
        <v>7</v>
      </c>
      <c r="P445" s="3" t="s">
        <v>23</v>
      </c>
      <c r="Q445" s="5"/>
    </row>
    <row r="446" spans="1:17" ht="93">
      <c r="A446" s="5">
        <v>441</v>
      </c>
      <c r="B446" s="6" t="s">
        <v>16</v>
      </c>
      <c r="C446" s="5" t="str">
        <f>HYPERLINK("http://data.overheid.nl/data/dataset/gebiedsschematisatie-waddenzee","Gebiedsschematisatie Waddenzee")</f>
        <v>Gebiedsschematisatie Waddenzee</v>
      </c>
      <c r="D446" s="6" t="s">
        <v>17</v>
      </c>
      <c r="E446" s="5" t="s">
        <v>18</v>
      </c>
      <c r="F446" s="6" t="s">
        <v>813</v>
      </c>
      <c r="G446" s="5" t="s">
        <v>310</v>
      </c>
      <c r="H446" s="6" t="s">
        <v>20</v>
      </c>
      <c r="I446" s="5" t="s">
        <v>21</v>
      </c>
      <c r="J446" s="4" t="s">
        <v>22</v>
      </c>
      <c r="K446" s="2" t="s">
        <v>23</v>
      </c>
      <c r="L446" s="6" t="s">
        <v>24</v>
      </c>
      <c r="M446" s="5" t="s">
        <v>25</v>
      </c>
      <c r="N446" s="3" t="s">
        <v>26</v>
      </c>
      <c r="O446" s="5">
        <v>2</v>
      </c>
      <c r="P446" s="3" t="s">
        <v>23</v>
      </c>
      <c r="Q446" s="5"/>
    </row>
    <row r="447" spans="1:17" ht="93">
      <c r="A447" s="5">
        <v>442</v>
      </c>
      <c r="B447" s="6" t="s">
        <v>16</v>
      </c>
      <c r="C447" s="5" t="str">
        <f>HYPERLINK("http://data.overheid.nl/data/dataset/gebiedsschematisatie-volkerak","Gebiedsschematisatie Volkerak")</f>
        <v>Gebiedsschematisatie Volkerak</v>
      </c>
      <c r="D447" s="6" t="s">
        <v>17</v>
      </c>
      <c r="E447" s="5" t="s">
        <v>18</v>
      </c>
      <c r="F447" s="6" t="s">
        <v>813</v>
      </c>
      <c r="G447" s="5" t="s">
        <v>311</v>
      </c>
      <c r="H447" s="6" t="s">
        <v>20</v>
      </c>
      <c r="I447" s="5" t="s">
        <v>21</v>
      </c>
      <c r="J447" s="4" t="s">
        <v>22</v>
      </c>
      <c r="K447" s="2" t="s">
        <v>23</v>
      </c>
      <c r="L447" s="6" t="s">
        <v>24</v>
      </c>
      <c r="M447" s="5" t="s">
        <v>25</v>
      </c>
      <c r="N447" s="3" t="s">
        <v>26</v>
      </c>
      <c r="O447" s="5">
        <v>5</v>
      </c>
      <c r="P447" s="3" t="s">
        <v>23</v>
      </c>
      <c r="Q447" s="5"/>
    </row>
    <row r="448" spans="1:17" ht="93">
      <c r="A448" s="5">
        <v>443</v>
      </c>
      <c r="B448" s="6" t="s">
        <v>16</v>
      </c>
      <c r="C448" s="5" t="str">
        <f>HYPERLINK("http://data.overheid.nl/data/dataset/gebiedsschematisatie-rijnmaasmonding","Gebiedsschematisatie RijnMaasMonding")</f>
        <v>Gebiedsschematisatie RijnMaasMonding</v>
      </c>
      <c r="D448" s="6" t="s">
        <v>17</v>
      </c>
      <c r="E448" s="5" t="s">
        <v>18</v>
      </c>
      <c r="F448" s="6" t="s">
        <v>813</v>
      </c>
      <c r="G448" s="5" t="s">
        <v>312</v>
      </c>
      <c r="H448" s="6" t="s">
        <v>20</v>
      </c>
      <c r="I448" s="5" t="s">
        <v>21</v>
      </c>
      <c r="J448" s="4" t="s">
        <v>22</v>
      </c>
      <c r="K448" s="2" t="s">
        <v>23</v>
      </c>
      <c r="L448" s="6" t="s">
        <v>24</v>
      </c>
      <c r="M448" s="5" t="s">
        <v>25</v>
      </c>
      <c r="N448" s="3" t="s">
        <v>26</v>
      </c>
      <c r="O448" s="5">
        <v>4</v>
      </c>
      <c r="P448" s="3" t="s">
        <v>23</v>
      </c>
      <c r="Q448" s="5"/>
    </row>
    <row r="449" spans="1:17" ht="77.5">
      <c r="A449" s="5">
        <v>444</v>
      </c>
      <c r="B449" s="6" t="s">
        <v>16</v>
      </c>
      <c r="C449" s="5" t="str">
        <f>HYPERLINK("http://data.overheid.nl/data/dataset/gebiedsschematisatie-rijn","Gebiedsschematisatie Rijn")</f>
        <v>Gebiedsschematisatie Rijn</v>
      </c>
      <c r="D449" s="6" t="s">
        <v>17</v>
      </c>
      <c r="E449" s="5" t="s">
        <v>18</v>
      </c>
      <c r="F449" s="6" t="s">
        <v>813</v>
      </c>
      <c r="G449" s="5" t="s">
        <v>313</v>
      </c>
      <c r="H449" s="6" t="s">
        <v>20</v>
      </c>
      <c r="I449" s="5" t="s">
        <v>21</v>
      </c>
      <c r="J449" s="4" t="s">
        <v>22</v>
      </c>
      <c r="K449" s="2" t="s">
        <v>23</v>
      </c>
      <c r="L449" s="6" t="s">
        <v>24</v>
      </c>
      <c r="M449" s="5" t="s">
        <v>25</v>
      </c>
      <c r="N449" s="3" t="s">
        <v>26</v>
      </c>
      <c r="O449" s="5">
        <v>3</v>
      </c>
      <c r="P449" s="3" t="s">
        <v>23</v>
      </c>
      <c r="Q449" s="5"/>
    </row>
    <row r="450" spans="1:17" ht="93">
      <c r="A450" s="5">
        <v>445</v>
      </c>
      <c r="B450" s="6" t="s">
        <v>16</v>
      </c>
      <c r="C450" s="5" t="str">
        <f>HYPERLINK("http://data.overheid.nl/data/dataset/gebiedsschematisatie-oosterschelde","Gebiedsschematisatie Oosterschelde")</f>
        <v>Gebiedsschematisatie Oosterschelde</v>
      </c>
      <c r="D450" s="6" t="s">
        <v>17</v>
      </c>
      <c r="E450" s="5" t="s">
        <v>18</v>
      </c>
      <c r="F450" s="6" t="s">
        <v>813</v>
      </c>
      <c r="G450" s="5" t="s">
        <v>314</v>
      </c>
      <c r="H450" s="6" t="s">
        <v>20</v>
      </c>
      <c r="I450" s="5" t="s">
        <v>21</v>
      </c>
      <c r="J450" s="4" t="s">
        <v>22</v>
      </c>
      <c r="K450" s="2" t="s">
        <v>23</v>
      </c>
      <c r="L450" s="6" t="s">
        <v>24</v>
      </c>
      <c r="M450" s="5" t="s">
        <v>25</v>
      </c>
      <c r="N450" s="3" t="s">
        <v>26</v>
      </c>
      <c r="O450" s="5">
        <v>2</v>
      </c>
      <c r="P450" s="3" t="s">
        <v>23</v>
      </c>
      <c r="Q450" s="5"/>
    </row>
    <row r="451" spans="1:17" ht="93">
      <c r="A451" s="5">
        <v>446</v>
      </c>
      <c r="B451" s="6" t="s">
        <v>16</v>
      </c>
      <c r="C451" s="5" t="str">
        <f>HYPERLINK("http://data.overheid.nl/data/dataset/gebiedsschematisatie-noordzee-zuid","Gebiedsschematisatie Noordzee Zuid")</f>
        <v>Gebiedsschematisatie Noordzee Zuid</v>
      </c>
      <c r="D451" s="6" t="s">
        <v>17</v>
      </c>
      <c r="E451" s="5" t="s">
        <v>18</v>
      </c>
      <c r="F451" s="6" t="s">
        <v>813</v>
      </c>
      <c r="G451" s="5" t="s">
        <v>315</v>
      </c>
      <c r="H451" s="6" t="s">
        <v>20</v>
      </c>
      <c r="I451" s="5" t="s">
        <v>21</v>
      </c>
      <c r="J451" s="4" t="s">
        <v>22</v>
      </c>
      <c r="K451" s="2" t="s">
        <v>23</v>
      </c>
      <c r="L451" s="6" t="s">
        <v>24</v>
      </c>
      <c r="M451" s="5" t="s">
        <v>25</v>
      </c>
      <c r="N451" s="3" t="s">
        <v>26</v>
      </c>
      <c r="O451" s="5">
        <v>12</v>
      </c>
      <c r="P451" s="3" t="s">
        <v>23</v>
      </c>
      <c r="Q451" s="5"/>
    </row>
    <row r="452" spans="1:17" ht="93">
      <c r="A452" s="5">
        <v>447</v>
      </c>
      <c r="B452" s="6" t="s">
        <v>16</v>
      </c>
      <c r="C452" s="5" t="str">
        <f>HYPERLINK("http://data.overheid.nl/data/dataset/gebiedsschematisatie-markermeer","Gebiedsschematisatie Markermeer")</f>
        <v>Gebiedsschematisatie Markermeer</v>
      </c>
      <c r="D452" s="6" t="s">
        <v>17</v>
      </c>
      <c r="E452" s="5" t="s">
        <v>18</v>
      </c>
      <c r="F452" s="6" t="s">
        <v>813</v>
      </c>
      <c r="G452" s="5" t="s">
        <v>316</v>
      </c>
      <c r="H452" s="6" t="s">
        <v>20</v>
      </c>
      <c r="I452" s="5" t="s">
        <v>21</v>
      </c>
      <c r="J452" s="7" t="s">
        <v>38</v>
      </c>
      <c r="K452" s="2" t="s">
        <v>23</v>
      </c>
      <c r="L452" s="6" t="s">
        <v>24</v>
      </c>
      <c r="M452" s="5" t="s">
        <v>25</v>
      </c>
      <c r="N452" s="3" t="s">
        <v>26</v>
      </c>
      <c r="O452" s="5">
        <v>6</v>
      </c>
      <c r="P452" s="3" t="s">
        <v>23</v>
      </c>
      <c r="Q452" s="5"/>
    </row>
    <row r="453" spans="1:17" ht="93">
      <c r="A453" s="5">
        <v>448</v>
      </c>
      <c r="B453" s="6" t="s">
        <v>16</v>
      </c>
      <c r="C453" s="5" t="str">
        <f>HYPERLINK("http://data.overheid.nl/data/dataset/gebiedsschematisatie-maas","Gebiedsschematisatie Maas")</f>
        <v>Gebiedsschematisatie Maas</v>
      </c>
      <c r="D453" s="6" t="s">
        <v>17</v>
      </c>
      <c r="E453" s="5" t="s">
        <v>18</v>
      </c>
      <c r="F453" s="6" t="s">
        <v>813</v>
      </c>
      <c r="G453" s="5" t="s">
        <v>317</v>
      </c>
      <c r="H453" s="6" t="s">
        <v>20</v>
      </c>
      <c r="I453" s="5" t="s">
        <v>21</v>
      </c>
      <c r="J453" s="4" t="s">
        <v>22</v>
      </c>
      <c r="K453" s="2" t="s">
        <v>23</v>
      </c>
      <c r="L453" s="6" t="s">
        <v>24</v>
      </c>
      <c r="M453" s="5" t="s">
        <v>25</v>
      </c>
      <c r="N453" s="3" t="s">
        <v>26</v>
      </c>
      <c r="O453" s="5">
        <v>2</v>
      </c>
      <c r="P453" s="3" t="s">
        <v>23</v>
      </c>
      <c r="Q453" s="5"/>
    </row>
    <row r="454" spans="1:17" ht="93">
      <c r="A454" s="5">
        <v>449</v>
      </c>
      <c r="B454" s="6" t="s">
        <v>16</v>
      </c>
      <c r="C454" s="5" t="str">
        <f>HYPERLINK("http://data.overheid.nl/data/dataset/gebiedsschematisatie-lauwersmeer","Gebiedsschematisatie Lauwersmeer")</f>
        <v>Gebiedsschematisatie Lauwersmeer</v>
      </c>
      <c r="D454" s="6" t="s">
        <v>17</v>
      </c>
      <c r="E454" s="5" t="s">
        <v>18</v>
      </c>
      <c r="F454" s="6" t="s">
        <v>813</v>
      </c>
      <c r="G454" s="5" t="s">
        <v>318</v>
      </c>
      <c r="H454" s="6" t="s">
        <v>20</v>
      </c>
      <c r="I454" s="5" t="s">
        <v>21</v>
      </c>
      <c r="J454" s="4" t="s">
        <v>22</v>
      </c>
      <c r="K454" s="2" t="s">
        <v>23</v>
      </c>
      <c r="L454" s="6" t="s">
        <v>24</v>
      </c>
      <c r="M454" s="5" t="s">
        <v>25</v>
      </c>
      <c r="N454" s="3" t="s">
        <v>26</v>
      </c>
      <c r="O454" s="5">
        <v>2</v>
      </c>
      <c r="P454" s="3" t="s">
        <v>23</v>
      </c>
      <c r="Q454" s="5"/>
    </row>
    <row r="455" spans="1:17" ht="77.5">
      <c r="A455" s="5">
        <v>450</v>
      </c>
      <c r="B455" s="6" t="s">
        <v>16</v>
      </c>
      <c r="C455" s="5" t="str">
        <f>HYPERLINK("http://data.overheid.nl/data/dataset/gebiedsschematisatie-kust","Gebiedsschematisatie Kust")</f>
        <v>Gebiedsschematisatie Kust</v>
      </c>
      <c r="D455" s="6" t="s">
        <v>17</v>
      </c>
      <c r="E455" s="5" t="s">
        <v>18</v>
      </c>
      <c r="F455" s="6" t="s">
        <v>813</v>
      </c>
      <c r="G455" s="5" t="s">
        <v>319</v>
      </c>
      <c r="H455" s="6" t="s">
        <v>20</v>
      </c>
      <c r="I455" s="5" t="s">
        <v>21</v>
      </c>
      <c r="J455" s="4" t="s">
        <v>22</v>
      </c>
      <c r="K455" s="2" t="s">
        <v>23</v>
      </c>
      <c r="L455" s="6" t="s">
        <v>24</v>
      </c>
      <c r="M455" s="5" t="s">
        <v>25</v>
      </c>
      <c r="N455" s="3" t="s">
        <v>26</v>
      </c>
      <c r="O455" s="5">
        <v>5</v>
      </c>
      <c r="P455" s="3" t="s">
        <v>23</v>
      </c>
      <c r="Q455" s="5"/>
    </row>
    <row r="456" spans="1:17" ht="93">
      <c r="A456" s="5">
        <v>451</v>
      </c>
      <c r="B456" s="6" t="s">
        <v>16</v>
      </c>
      <c r="C456" s="5" t="str">
        <f>HYPERLINK("http://data.overheid.nl/data/dataset/gebiedsschematisatie-ijmond","Gebiedsschematisatie IJmond")</f>
        <v>Gebiedsschematisatie IJmond</v>
      </c>
      <c r="D456" s="6" t="s">
        <v>17</v>
      </c>
      <c r="E456" s="5" t="s">
        <v>18</v>
      </c>
      <c r="F456" s="6" t="s">
        <v>813</v>
      </c>
      <c r="G456" s="5" t="s">
        <v>320</v>
      </c>
      <c r="H456" s="6" t="s">
        <v>20</v>
      </c>
      <c r="I456" s="5" t="s">
        <v>21</v>
      </c>
      <c r="J456" s="4" t="s">
        <v>22</v>
      </c>
      <c r="K456" s="2" t="s">
        <v>23</v>
      </c>
      <c r="L456" s="6" t="s">
        <v>24</v>
      </c>
      <c r="M456" s="5" t="s">
        <v>25</v>
      </c>
      <c r="N456" s="3" t="s">
        <v>26</v>
      </c>
      <c r="O456" s="5">
        <v>7</v>
      </c>
      <c r="P456" s="3" t="s">
        <v>23</v>
      </c>
      <c r="Q456" s="5"/>
    </row>
    <row r="457" spans="1:17" ht="93">
      <c r="A457" s="5">
        <v>452</v>
      </c>
      <c r="B457" s="6" t="s">
        <v>16</v>
      </c>
      <c r="C457" s="5" t="str">
        <f>HYPERLINK("http://data.overheid.nl/data/dataset/gebiedsschematisatie-grevelingen","Gebiedsschematisatie Grevelingen")</f>
        <v>Gebiedsschematisatie Grevelingen</v>
      </c>
      <c r="D457" s="6" t="s">
        <v>17</v>
      </c>
      <c r="E457" s="5" t="s">
        <v>18</v>
      </c>
      <c r="F457" s="6" t="s">
        <v>813</v>
      </c>
      <c r="G457" s="5" t="s">
        <v>321</v>
      </c>
      <c r="H457" s="6" t="s">
        <v>20</v>
      </c>
      <c r="I457" s="5" t="s">
        <v>21</v>
      </c>
      <c r="J457" s="4" t="s">
        <v>22</v>
      </c>
      <c r="K457" s="2" t="s">
        <v>23</v>
      </c>
      <c r="L457" s="6" t="s">
        <v>24</v>
      </c>
      <c r="M457" s="5" t="s">
        <v>25</v>
      </c>
      <c r="N457" s="3" t="s">
        <v>26</v>
      </c>
      <c r="O457" s="5">
        <v>7</v>
      </c>
      <c r="P457" s="3" t="s">
        <v>23</v>
      </c>
      <c r="Q457" s="5"/>
    </row>
    <row r="458" spans="1:17" ht="93">
      <c r="A458" s="5">
        <v>453</v>
      </c>
      <c r="B458" s="6" t="s">
        <v>16</v>
      </c>
      <c r="C458" s="5" t="str">
        <f>HYPERLINK("http://data.overheid.nl/data/dataset/gebiedsschematisatie-eems-dollard","Gebiedsschematisatie Eems-Dollard")</f>
        <v>Gebiedsschematisatie Eems-Dollard</v>
      </c>
      <c r="D458" s="6" t="s">
        <v>17</v>
      </c>
      <c r="E458" s="5" t="s">
        <v>18</v>
      </c>
      <c r="F458" s="6" t="s">
        <v>813</v>
      </c>
      <c r="G458" s="5" t="s">
        <v>322</v>
      </c>
      <c r="H458" s="6" t="s">
        <v>20</v>
      </c>
      <c r="I458" s="5" t="s">
        <v>21</v>
      </c>
      <c r="J458" s="4" t="s">
        <v>22</v>
      </c>
      <c r="K458" s="2" t="s">
        <v>23</v>
      </c>
      <c r="L458" s="6" t="s">
        <v>24</v>
      </c>
      <c r="M458" s="5" t="s">
        <v>25</v>
      </c>
      <c r="N458" s="3" t="s">
        <v>26</v>
      </c>
      <c r="O458" s="5">
        <v>5</v>
      </c>
      <c r="P458" s="3" t="s">
        <v>23</v>
      </c>
      <c r="Q458" s="5"/>
    </row>
    <row r="459" spans="1:17" ht="31">
      <c r="A459" s="5">
        <v>454</v>
      </c>
      <c r="B459" s="6" t="s">
        <v>16</v>
      </c>
      <c r="C459" s="5" t="str">
        <f>HYPERLINK("http://data.overheid.nl/data/dataset/overzicht-verplaatsbare-platforms-tbv-olie-en-gas","Overzicht verplaatsbare platforms tbv olie en gas")</f>
        <v>Overzicht verplaatsbare platforms tbv olie en gas</v>
      </c>
      <c r="D459" s="6" t="s">
        <v>17</v>
      </c>
      <c r="E459" s="5" t="s">
        <v>18</v>
      </c>
      <c r="F459" s="6" t="s">
        <v>813</v>
      </c>
      <c r="G459" s="5" t="s">
        <v>323</v>
      </c>
      <c r="H459" s="6" t="s">
        <v>20</v>
      </c>
      <c r="I459" s="5" t="s">
        <v>21</v>
      </c>
      <c r="J459" s="4" t="s">
        <v>22</v>
      </c>
      <c r="K459" s="2" t="s">
        <v>23</v>
      </c>
      <c r="L459" s="6" t="s">
        <v>24</v>
      </c>
      <c r="M459" s="5" t="s">
        <v>25</v>
      </c>
      <c r="N459" s="3" t="s">
        <v>26</v>
      </c>
      <c r="O459" s="5">
        <v>2</v>
      </c>
      <c r="P459" s="3" t="s">
        <v>23</v>
      </c>
      <c r="Q459" s="5"/>
    </row>
    <row r="460" spans="1:17" ht="62">
      <c r="A460" s="5">
        <v>455</v>
      </c>
      <c r="B460" s="6" t="s">
        <v>16</v>
      </c>
      <c r="C460" s="5" t="str">
        <f>HYPERLINK("http://data.overheid.nl/data/dataset/nationaal-hydrologisch-instrumentarium-netwerkschematisaties-nodes","Nationaal Hydrologisch Instrumentarium netwerkschematisaties nodes")</f>
        <v>Nationaal Hydrologisch Instrumentarium netwerkschematisaties nodes</v>
      </c>
      <c r="D460" s="6" t="s">
        <v>17</v>
      </c>
      <c r="E460" s="5" t="s">
        <v>18</v>
      </c>
      <c r="F460" s="6" t="s">
        <v>813</v>
      </c>
      <c r="G460" s="5" t="s">
        <v>324</v>
      </c>
      <c r="H460" s="6" t="s">
        <v>20</v>
      </c>
      <c r="I460" s="5" t="s">
        <v>21</v>
      </c>
      <c r="J460" s="7" t="s">
        <v>38</v>
      </c>
      <c r="K460" s="2" t="s">
        <v>23</v>
      </c>
      <c r="L460" s="6" t="s">
        <v>24</v>
      </c>
      <c r="M460" s="5" t="s">
        <v>25</v>
      </c>
      <c r="N460" s="3" t="s">
        <v>26</v>
      </c>
      <c r="O460" s="5">
        <v>5</v>
      </c>
      <c r="P460" s="3" t="s">
        <v>23</v>
      </c>
      <c r="Q460" s="5"/>
    </row>
    <row r="461" spans="1:17" ht="62">
      <c r="A461" s="5">
        <v>456</v>
      </c>
      <c r="B461" s="6" t="s">
        <v>16</v>
      </c>
      <c r="C461" s="5" t="str">
        <f>HYPERLINK("http://data.overheid.nl/data/dataset/nationaal-hydrologisch-instrumentarium-netwerkschematisaties-links","Nationaal Hydrologisch Instrumentarium netwerkschematisaties links")</f>
        <v>Nationaal Hydrologisch Instrumentarium netwerkschematisaties links</v>
      </c>
      <c r="D461" s="6" t="s">
        <v>17</v>
      </c>
      <c r="E461" s="5" t="s">
        <v>18</v>
      </c>
      <c r="F461" s="6" t="s">
        <v>813</v>
      </c>
      <c r="G461" s="5" t="s">
        <v>324</v>
      </c>
      <c r="H461" s="6" t="s">
        <v>20</v>
      </c>
      <c r="I461" s="5" t="s">
        <v>21</v>
      </c>
      <c r="J461" s="4" t="s">
        <v>22</v>
      </c>
      <c r="K461" s="2" t="s">
        <v>23</v>
      </c>
      <c r="L461" s="6" t="s">
        <v>24</v>
      </c>
      <c r="M461" s="5" t="s">
        <v>25</v>
      </c>
      <c r="N461" s="3" t="s">
        <v>26</v>
      </c>
      <c r="O461" s="5">
        <v>5</v>
      </c>
      <c r="P461" s="3" t="s">
        <v>23</v>
      </c>
      <c r="Q461" s="5"/>
    </row>
    <row r="462" spans="1:17" ht="77.5">
      <c r="A462" s="5">
        <v>457</v>
      </c>
      <c r="B462" s="6" t="s">
        <v>16</v>
      </c>
      <c r="C462" s="5" t="str">
        <f>HYPERLINK("http://data.overheid.nl/data/dataset/waddenzee-2013","Waddenzee 2013")</f>
        <v>Waddenzee 2013</v>
      </c>
      <c r="D462" s="6" t="s">
        <v>17</v>
      </c>
      <c r="E462" s="5" t="s">
        <v>18</v>
      </c>
      <c r="F462" s="6" t="s">
        <v>813</v>
      </c>
      <c r="G462" s="5" t="s">
        <v>325</v>
      </c>
      <c r="H462" s="6" t="s">
        <v>20</v>
      </c>
      <c r="I462" s="5" t="s">
        <v>21</v>
      </c>
      <c r="J462" s="4" t="s">
        <v>22</v>
      </c>
      <c r="K462" s="2" t="s">
        <v>23</v>
      </c>
      <c r="L462" s="6" t="s">
        <v>24</v>
      </c>
      <c r="M462" s="5" t="s">
        <v>25</v>
      </c>
      <c r="N462" s="3" t="s">
        <v>26</v>
      </c>
      <c r="O462" s="5">
        <v>2</v>
      </c>
      <c r="P462" s="3" t="s">
        <v>23</v>
      </c>
      <c r="Q462" s="5"/>
    </row>
    <row r="463" spans="1:17" ht="46.5">
      <c r="A463" s="5">
        <v>458</v>
      </c>
      <c r="B463" s="6" t="s">
        <v>16</v>
      </c>
      <c r="C463" s="5" t="str">
        <f>HYPERLINK("http://data.overheid.nl/data/dataset/overzicht-vlieglijnen-waddenzee-2013","Overzicht vlieglijnen Waddenzee 2013")</f>
        <v>Overzicht vlieglijnen Waddenzee 2013</v>
      </c>
      <c r="D463" s="6" t="s">
        <v>17</v>
      </c>
      <c r="E463" s="5" t="s">
        <v>18</v>
      </c>
      <c r="F463" s="6" t="s">
        <v>813</v>
      </c>
      <c r="G463" s="5" t="s">
        <v>326</v>
      </c>
      <c r="H463" s="6" t="s">
        <v>20</v>
      </c>
      <c r="I463" s="5" t="s">
        <v>21</v>
      </c>
      <c r="J463" s="4" t="s">
        <v>22</v>
      </c>
      <c r="K463" s="2" t="s">
        <v>23</v>
      </c>
      <c r="L463" s="6" t="s">
        <v>24</v>
      </c>
      <c r="M463" s="5" t="s">
        <v>25</v>
      </c>
      <c r="N463" s="3" t="s">
        <v>26</v>
      </c>
      <c r="O463" s="5">
        <v>2</v>
      </c>
      <c r="P463" s="3" t="s">
        <v>23</v>
      </c>
      <c r="Q463" s="5"/>
    </row>
    <row r="464" spans="1:17" ht="46.5">
      <c r="A464" s="5">
        <v>459</v>
      </c>
      <c r="B464" s="6" t="s">
        <v>16</v>
      </c>
      <c r="C464" s="5" t="str">
        <f>HYPERLINK("http://data.overheid.nl/data/dataset/veerse-meer-2011-van-fotovlucht-orthofotomozaiek-falsecolor-ecw","Veerse Meer 2011 van fotovlucht Orthofotomozaiek Falsecolor Ecw")</f>
        <v>Veerse Meer 2011 van fotovlucht Orthofotomozaiek Falsecolor Ecw</v>
      </c>
      <c r="D464" s="6" t="s">
        <v>17</v>
      </c>
      <c r="E464" s="5" t="s">
        <v>18</v>
      </c>
      <c r="F464" s="6" t="s">
        <v>813</v>
      </c>
      <c r="G464" s="5" t="s">
        <v>327</v>
      </c>
      <c r="H464" s="6" t="s">
        <v>20</v>
      </c>
      <c r="I464" s="5" t="s">
        <v>21</v>
      </c>
      <c r="J464" s="4" t="s">
        <v>22</v>
      </c>
      <c r="K464" s="2" t="s">
        <v>23</v>
      </c>
      <c r="L464" s="6" t="s">
        <v>24</v>
      </c>
      <c r="M464" s="5" t="s">
        <v>25</v>
      </c>
      <c r="N464" s="3" t="s">
        <v>26</v>
      </c>
      <c r="O464" s="5">
        <v>2</v>
      </c>
      <c r="P464" s="3" t="s">
        <v>23</v>
      </c>
      <c r="Q464" s="5"/>
    </row>
    <row r="465" spans="1:17" ht="62">
      <c r="A465" s="5">
        <v>460</v>
      </c>
      <c r="B465" s="6" t="s">
        <v>16</v>
      </c>
      <c r="C465" s="5" t="str">
        <f>HYPERLINK("http://data.overheid.nl/data/dataset/overzicht-vlieglijnen-westerschelde-2011","Overzicht vlieglijnen Westerschelde 2011")</f>
        <v>Overzicht vlieglijnen Westerschelde 2011</v>
      </c>
      <c r="D465" s="6" t="s">
        <v>17</v>
      </c>
      <c r="E465" s="5" t="s">
        <v>18</v>
      </c>
      <c r="F465" s="6" t="s">
        <v>813</v>
      </c>
      <c r="G465" s="5" t="s">
        <v>328</v>
      </c>
      <c r="H465" s="6" t="s">
        <v>20</v>
      </c>
      <c r="I465" s="5" t="s">
        <v>21</v>
      </c>
      <c r="J465" s="4" t="s">
        <v>22</v>
      </c>
      <c r="K465" s="2" t="s">
        <v>23</v>
      </c>
      <c r="L465" s="6" t="s">
        <v>24</v>
      </c>
      <c r="M465" s="5" t="s">
        <v>25</v>
      </c>
      <c r="N465" s="3" t="s">
        <v>26</v>
      </c>
      <c r="O465" s="5">
        <v>2</v>
      </c>
      <c r="P465" s="3" t="s">
        <v>23</v>
      </c>
      <c r="Q465" s="5"/>
    </row>
    <row r="466" spans="1:17" ht="46.5">
      <c r="A466" s="5">
        <v>461</v>
      </c>
      <c r="B466" s="6" t="s">
        <v>16</v>
      </c>
      <c r="C466" s="5" t="str">
        <f>HYPERLINK("http://data.overheid.nl/data/dataset/orthofotomozaiek-grevelinge-meer-falsecolor-ecw","Orthofotomozaiek_Grevelinge_Meer_ Falsecolor.Ecw")</f>
        <v>Orthofotomozaiek_Grevelinge_Meer_ Falsecolor.Ecw</v>
      </c>
      <c r="D466" s="6" t="s">
        <v>17</v>
      </c>
      <c r="E466" s="5" t="s">
        <v>18</v>
      </c>
      <c r="F466" s="6" t="s">
        <v>813</v>
      </c>
      <c r="G466" s="5" t="s">
        <v>329</v>
      </c>
      <c r="H466" s="6" t="s">
        <v>20</v>
      </c>
      <c r="I466" s="5" t="s">
        <v>21</v>
      </c>
      <c r="J466" s="4" t="s">
        <v>22</v>
      </c>
      <c r="K466" s="2" t="s">
        <v>23</v>
      </c>
      <c r="L466" s="6" t="s">
        <v>24</v>
      </c>
      <c r="M466" s="5" t="s">
        <v>25</v>
      </c>
      <c r="N466" s="3" t="s">
        <v>26</v>
      </c>
      <c r="O466" s="5">
        <v>2</v>
      </c>
      <c r="P466" s="3" t="s">
        <v>23</v>
      </c>
      <c r="Q466" s="5"/>
    </row>
    <row r="467" spans="1:17" ht="77.5">
      <c r="A467" s="5">
        <v>462</v>
      </c>
      <c r="B467" s="6" t="s">
        <v>16</v>
      </c>
      <c r="C467" s="5" t="str">
        <f>HYPERLINK("http://data.overheid.nl/data/dataset/hoogtebestand-westerschelde-2011","Hoogtebestand Westerschelde 2011")</f>
        <v>Hoogtebestand Westerschelde 2011</v>
      </c>
      <c r="D467" s="6" t="s">
        <v>17</v>
      </c>
      <c r="E467" s="5" t="s">
        <v>18</v>
      </c>
      <c r="F467" s="6" t="s">
        <v>813</v>
      </c>
      <c r="G467" s="5" t="s">
        <v>330</v>
      </c>
      <c r="H467" s="6" t="s">
        <v>20</v>
      </c>
      <c r="I467" s="5" t="s">
        <v>21</v>
      </c>
      <c r="J467" s="4" t="s">
        <v>22</v>
      </c>
      <c r="K467" s="2" t="s">
        <v>23</v>
      </c>
      <c r="L467" s="6" t="s">
        <v>24</v>
      </c>
      <c r="M467" s="5" t="s">
        <v>25</v>
      </c>
      <c r="N467" s="3" t="s">
        <v>26</v>
      </c>
      <c r="O467" s="5">
        <v>2</v>
      </c>
      <c r="P467" s="3" t="s">
        <v>23</v>
      </c>
      <c r="Q467" s="5"/>
    </row>
    <row r="468" spans="1:17" ht="62">
      <c r="A468" s="5">
        <v>463</v>
      </c>
      <c r="B468" s="6" t="s">
        <v>16</v>
      </c>
      <c r="C468" s="5" t="str">
        <f>HYPERLINK("http://data.overheid.nl/data/dataset/locaties-helicopterfotos-20120719","Locaties helicopterfotos 20120719")</f>
        <v>Locaties helicopterfotos 20120719</v>
      </c>
      <c r="D468" s="6" t="s">
        <v>17</v>
      </c>
      <c r="E468" s="5" t="s">
        <v>18</v>
      </c>
      <c r="F468" s="6" t="s">
        <v>813</v>
      </c>
      <c r="G468" s="5" t="s">
        <v>331</v>
      </c>
      <c r="H468" s="6" t="s">
        <v>20</v>
      </c>
      <c r="I468" s="5" t="s">
        <v>21</v>
      </c>
      <c r="J468" s="4" t="s">
        <v>22</v>
      </c>
      <c r="K468" s="2" t="s">
        <v>23</v>
      </c>
      <c r="L468" s="6" t="s">
        <v>24</v>
      </c>
      <c r="M468" s="5" t="s">
        <v>25</v>
      </c>
      <c r="N468" s="3" t="s">
        <v>26</v>
      </c>
      <c r="O468" s="5">
        <v>2</v>
      </c>
      <c r="P468" s="3" t="s">
        <v>23</v>
      </c>
      <c r="Q468" s="5"/>
    </row>
    <row r="469" spans="1:17" ht="31">
      <c r="A469" s="5">
        <v>464</v>
      </c>
      <c r="B469" s="6" t="s">
        <v>332</v>
      </c>
      <c r="C469" s="5" t="str">
        <f>HYPERLINK("http://data.overheid.nl/data/dataset/openbare-verlichting-1885ed34-9030-4c94-8d1a-5be01e54f9c3","Openbare verlichting")</f>
        <v>Openbare verlichting</v>
      </c>
      <c r="D469" s="6" t="s">
        <v>17</v>
      </c>
      <c r="E469" s="5" t="s">
        <v>333</v>
      </c>
      <c r="F469" s="6" t="s">
        <v>813</v>
      </c>
      <c r="G469" s="5" t="s">
        <v>334</v>
      </c>
      <c r="H469" s="6" t="s">
        <v>20</v>
      </c>
      <c r="I469" s="5" t="s">
        <v>21</v>
      </c>
      <c r="J469" s="7" t="s">
        <v>38</v>
      </c>
      <c r="K469" s="2" t="s">
        <v>23</v>
      </c>
      <c r="L469" s="6" t="s">
        <v>24</v>
      </c>
      <c r="M469" s="5" t="s">
        <v>25</v>
      </c>
      <c r="N469" s="3" t="s">
        <v>335</v>
      </c>
      <c r="O469" s="5">
        <v>2</v>
      </c>
      <c r="P469" s="3" t="s">
        <v>23</v>
      </c>
      <c r="Q469" s="5"/>
    </row>
    <row r="470" spans="1:17" ht="31">
      <c r="A470" s="5">
        <v>465</v>
      </c>
      <c r="B470" s="6" t="s">
        <v>332</v>
      </c>
      <c r="C470" s="5" t="str">
        <f>HYPERLINK("http://data.overheid.nl/data/dataset/hernieuwbare-energie","Hernieuwbare energie")</f>
        <v>Hernieuwbare energie</v>
      </c>
      <c r="D470" s="6" t="s">
        <v>17</v>
      </c>
      <c r="E470" s="5" t="s">
        <v>333</v>
      </c>
      <c r="F470" s="6" t="s">
        <v>813</v>
      </c>
      <c r="G470" s="5" t="s">
        <v>336</v>
      </c>
      <c r="H470" s="6" t="s">
        <v>20</v>
      </c>
      <c r="I470" s="5" t="s">
        <v>21</v>
      </c>
      <c r="J470" s="7" t="s">
        <v>38</v>
      </c>
      <c r="K470" s="2" t="s">
        <v>23</v>
      </c>
      <c r="L470" s="6" t="s">
        <v>24</v>
      </c>
      <c r="M470" s="5" t="s">
        <v>25</v>
      </c>
      <c r="N470" s="3" t="s">
        <v>335</v>
      </c>
      <c r="O470" s="5">
        <v>2</v>
      </c>
      <c r="P470" s="3" t="s">
        <v>23</v>
      </c>
      <c r="Q470" s="5"/>
    </row>
    <row r="471" spans="1:17" ht="31">
      <c r="A471" s="5">
        <v>466</v>
      </c>
      <c r="B471" s="6" t="s">
        <v>16</v>
      </c>
      <c r="C471" s="5" t="str">
        <f>HYPERLINK("http://data.overheid.nl/data/dataset/rijkswaterstaat-standaard-voorschriften-chemie","Rijkswaterstaat - Standaard Voorschriften Chemie")</f>
        <v>Rijkswaterstaat - Standaard Voorschriften Chemie</v>
      </c>
      <c r="D471" s="6" t="s">
        <v>17</v>
      </c>
      <c r="E471" s="5" t="s">
        <v>18</v>
      </c>
      <c r="F471" s="6" t="s">
        <v>813</v>
      </c>
      <c r="G471" s="5" t="s">
        <v>337</v>
      </c>
      <c r="H471" s="6" t="s">
        <v>20</v>
      </c>
      <c r="I471" s="5" t="s">
        <v>21</v>
      </c>
      <c r="J471" s="4" t="s">
        <v>22</v>
      </c>
      <c r="K471" s="2" t="s">
        <v>23</v>
      </c>
      <c r="L471" s="6" t="s">
        <v>24</v>
      </c>
      <c r="M471" s="5" t="s">
        <v>25</v>
      </c>
      <c r="N471" s="3" t="s">
        <v>26</v>
      </c>
      <c r="O471" s="5">
        <v>1</v>
      </c>
      <c r="P471" s="3" t="s">
        <v>23</v>
      </c>
      <c r="Q471" s="5"/>
    </row>
    <row r="472" spans="1:17" ht="31">
      <c r="A472" s="5">
        <v>467</v>
      </c>
      <c r="B472" s="6" t="s">
        <v>16</v>
      </c>
      <c r="C472" s="5" t="str">
        <f>HYPERLINK("http://data.overheid.nl/data/dataset/rijkswaterstaat-icalendar-getij-wizard","Rijkswaterstaat - ICalendar Getij Wizard")</f>
        <v>Rijkswaterstaat - ICalendar Getij Wizard</v>
      </c>
      <c r="D472" s="6" t="s">
        <v>17</v>
      </c>
      <c r="E472" s="5" t="s">
        <v>18</v>
      </c>
      <c r="F472" s="6" t="s">
        <v>813</v>
      </c>
      <c r="G472" s="5" t="s">
        <v>338</v>
      </c>
      <c r="H472" s="6" t="s">
        <v>20</v>
      </c>
      <c r="I472" s="5" t="s">
        <v>21</v>
      </c>
      <c r="J472" s="4" t="s">
        <v>22</v>
      </c>
      <c r="K472" s="2" t="s">
        <v>23</v>
      </c>
      <c r="L472" s="6" t="s">
        <v>24</v>
      </c>
      <c r="M472" s="5" t="s">
        <v>25</v>
      </c>
      <c r="N472" s="3" t="s">
        <v>26</v>
      </c>
      <c r="O472" s="5">
        <v>1</v>
      </c>
      <c r="P472" s="3" t="s">
        <v>23</v>
      </c>
      <c r="Q472" s="5"/>
    </row>
    <row r="473" spans="1:17" ht="155">
      <c r="A473" s="5">
        <v>468</v>
      </c>
      <c r="B473" s="6" t="s">
        <v>16</v>
      </c>
      <c r="C473" s="5" t="str">
        <f>HYPERLINK("http://data.overheid.nl/data/dataset/bodemopbouw-meren-ijsselmeergebied","bodemopbouw meren IJsselmeergebied")</f>
        <v>bodemopbouw meren IJsselmeergebied</v>
      </c>
      <c r="D473" s="6" t="s">
        <v>17</v>
      </c>
      <c r="E473" s="5" t="s">
        <v>18</v>
      </c>
      <c r="F473" s="6" t="s">
        <v>813</v>
      </c>
      <c r="G473" s="5" t="s">
        <v>339</v>
      </c>
      <c r="H473" s="6" t="s">
        <v>28</v>
      </c>
      <c r="I473" s="5" t="s">
        <v>21</v>
      </c>
      <c r="J473" s="4" t="s">
        <v>22</v>
      </c>
      <c r="K473" s="2" t="s">
        <v>23</v>
      </c>
      <c r="L473" s="6" t="s">
        <v>24</v>
      </c>
      <c r="M473" s="5" t="s">
        <v>25</v>
      </c>
      <c r="N473" s="3" t="s">
        <v>26</v>
      </c>
      <c r="O473" s="5">
        <v>10</v>
      </c>
      <c r="P473" s="3" t="s">
        <v>23</v>
      </c>
      <c r="Q473" s="5"/>
    </row>
    <row r="474" spans="1:17" ht="31">
      <c r="A474" s="5">
        <v>469</v>
      </c>
      <c r="B474" s="6" t="s">
        <v>16</v>
      </c>
      <c r="C474" s="5" t="str">
        <f>HYPERLINK("http://data.overheid.nl/data/dataset/digitaal-topografisch-bestand-omhullende","Digitaal Topografisch Bestand omhullende")</f>
        <v>Digitaal Topografisch Bestand omhullende</v>
      </c>
      <c r="D474" s="6" t="s">
        <v>17</v>
      </c>
      <c r="E474" s="5" t="s">
        <v>18</v>
      </c>
      <c r="F474" s="6" t="s">
        <v>813</v>
      </c>
      <c r="G474" s="5" t="s">
        <v>340</v>
      </c>
      <c r="H474" s="6" t="s">
        <v>20</v>
      </c>
      <c r="I474" s="5" t="s">
        <v>21</v>
      </c>
      <c r="J474" s="4" t="s">
        <v>22</v>
      </c>
      <c r="K474" s="2" t="s">
        <v>23</v>
      </c>
      <c r="L474" s="6" t="s">
        <v>24</v>
      </c>
      <c r="M474" s="5" t="s">
        <v>25</v>
      </c>
      <c r="N474" s="3" t="s">
        <v>26</v>
      </c>
      <c r="O474" s="5">
        <v>2</v>
      </c>
      <c r="P474" s="3" t="s">
        <v>23</v>
      </c>
      <c r="Q474" s="5"/>
    </row>
    <row r="475" spans="1:17" ht="186">
      <c r="A475" s="5">
        <v>470</v>
      </c>
      <c r="B475" s="6" t="s">
        <v>16</v>
      </c>
      <c r="C475" s="5" t="str">
        <f>HYPERLINK("http://data.overheid.nl/data/dataset/hoogtebestand-noordwaard-2010","Hoogtebestand Noordwaard 2010")</f>
        <v>Hoogtebestand Noordwaard 2010</v>
      </c>
      <c r="D475" s="6" t="s">
        <v>17</v>
      </c>
      <c r="E475" s="5" t="s">
        <v>18</v>
      </c>
      <c r="F475" s="6" t="s">
        <v>813</v>
      </c>
      <c r="G475" s="5" t="s">
        <v>341</v>
      </c>
      <c r="H475" s="6" t="s">
        <v>20</v>
      </c>
      <c r="I475" s="5" t="s">
        <v>21</v>
      </c>
      <c r="J475" s="4" t="s">
        <v>22</v>
      </c>
      <c r="K475" s="2" t="s">
        <v>23</v>
      </c>
      <c r="L475" s="6" t="s">
        <v>24</v>
      </c>
      <c r="M475" s="5" t="s">
        <v>25</v>
      </c>
      <c r="N475" s="3" t="s">
        <v>26</v>
      </c>
      <c r="O475" s="5">
        <v>2</v>
      </c>
      <c r="P475" s="3" t="s">
        <v>23</v>
      </c>
      <c r="Q475" s="5"/>
    </row>
    <row r="476" spans="1:17" ht="93">
      <c r="A476" s="5">
        <v>471</v>
      </c>
      <c r="B476" s="6" t="s">
        <v>16</v>
      </c>
      <c r="C476" s="5" t="str">
        <f>HYPERLINK("http://data.overheid.nl/data/dataset/hydrografische-kaart-ijsselmeergebied-1935","Hydrografische kaart IJsselmeergebied 1935")</f>
        <v>Hydrografische kaart IJsselmeergebied 1935</v>
      </c>
      <c r="D476" s="6" t="s">
        <v>17</v>
      </c>
      <c r="E476" s="5" t="s">
        <v>18</v>
      </c>
      <c r="F476" s="6" t="s">
        <v>813</v>
      </c>
      <c r="G476" s="5" t="s">
        <v>342</v>
      </c>
      <c r="H476" s="6" t="s">
        <v>20</v>
      </c>
      <c r="I476" s="5" t="s">
        <v>21</v>
      </c>
      <c r="J476" s="4" t="s">
        <v>22</v>
      </c>
      <c r="K476" s="2" t="s">
        <v>23</v>
      </c>
      <c r="L476" s="6" t="s">
        <v>24</v>
      </c>
      <c r="M476" s="5" t="s">
        <v>25</v>
      </c>
      <c r="N476" s="3" t="s">
        <v>26</v>
      </c>
      <c r="O476" s="5">
        <v>2</v>
      </c>
      <c r="P476" s="3" t="s">
        <v>23</v>
      </c>
      <c r="Q476" s="5"/>
    </row>
    <row r="477" spans="1:17" ht="46.5">
      <c r="A477" s="5">
        <v>472</v>
      </c>
      <c r="B477" s="6" t="s">
        <v>16</v>
      </c>
      <c r="C477" s="5" t="str">
        <f>HYPERLINK("http://data.overheid.nl/data/dataset/waterplanten-bedekking-ijsselmeergebied","Waterplanten bedekking IJsselmeergebied")</f>
        <v>Waterplanten bedekking IJsselmeergebied</v>
      </c>
      <c r="D477" s="6" t="s">
        <v>17</v>
      </c>
      <c r="E477" s="5" t="s">
        <v>18</v>
      </c>
      <c r="F477" s="6" t="s">
        <v>813</v>
      </c>
      <c r="G477" s="5" t="s">
        <v>343</v>
      </c>
      <c r="H477" s="6" t="s">
        <v>20</v>
      </c>
      <c r="I477" s="5" t="s">
        <v>21</v>
      </c>
      <c r="J477" s="4" t="s">
        <v>22</v>
      </c>
      <c r="K477" s="2" t="s">
        <v>23</v>
      </c>
      <c r="L477" s="6" t="s">
        <v>24</v>
      </c>
      <c r="M477" s="5" t="s">
        <v>25</v>
      </c>
      <c r="N477" s="3" t="s">
        <v>26</v>
      </c>
      <c r="O477" s="5">
        <v>2</v>
      </c>
      <c r="P477" s="3" t="s">
        <v>23</v>
      </c>
      <c r="Q477" s="5"/>
    </row>
    <row r="478" spans="1:17" ht="46.5">
      <c r="A478" s="5">
        <v>473</v>
      </c>
      <c r="B478" s="6" t="s">
        <v>16</v>
      </c>
      <c r="C478" s="5" t="str">
        <f>HYPERLINK("http://data.overheid.nl/data/dataset/vaarwegkenmerken-in-nederland-aansluiting","Vaarwegkenmerken in Nederland aansluiting")</f>
        <v>Vaarwegkenmerken in Nederland aansluiting</v>
      </c>
      <c r="D478" s="6" t="s">
        <v>17</v>
      </c>
      <c r="E478" s="5" t="s">
        <v>18</v>
      </c>
      <c r="F478" s="6" t="s">
        <v>813</v>
      </c>
      <c r="G478" s="5" t="s">
        <v>344</v>
      </c>
      <c r="H478" s="6" t="s">
        <v>20</v>
      </c>
      <c r="I478" s="5" t="s">
        <v>21</v>
      </c>
      <c r="J478" s="4" t="s">
        <v>22</v>
      </c>
      <c r="K478" s="2" t="s">
        <v>23</v>
      </c>
      <c r="L478" s="6" t="s">
        <v>24</v>
      </c>
      <c r="M478" s="5" t="s">
        <v>25</v>
      </c>
      <c r="N478" s="3" t="s">
        <v>26</v>
      </c>
      <c r="O478" s="5">
        <v>2</v>
      </c>
      <c r="P478" s="3" t="s">
        <v>23</v>
      </c>
      <c r="Q478" s="5"/>
    </row>
    <row r="479" spans="1:17" ht="62">
      <c r="A479" s="5">
        <v>474</v>
      </c>
      <c r="B479" s="6" t="s">
        <v>16</v>
      </c>
      <c r="C479" s="5" t="str">
        <f>HYPERLINK("http://data.overheid.nl/data/dataset/hoogtegegevens-kribben-don-2008","Hoogtegegevens kribben DON 2008")</f>
        <v>Hoogtegegevens kribben DON 2008</v>
      </c>
      <c r="D479" s="6" t="s">
        <v>17</v>
      </c>
      <c r="E479" s="5" t="s">
        <v>18</v>
      </c>
      <c r="F479" s="6" t="s">
        <v>813</v>
      </c>
      <c r="G479" s="5" t="s">
        <v>345</v>
      </c>
      <c r="H479" s="6" t="s">
        <v>20</v>
      </c>
      <c r="I479" s="5" t="s">
        <v>21</v>
      </c>
      <c r="J479" s="4" t="s">
        <v>22</v>
      </c>
      <c r="K479" s="2" t="s">
        <v>23</v>
      </c>
      <c r="L479" s="6" t="s">
        <v>24</v>
      </c>
      <c r="M479" s="5" t="s">
        <v>25</v>
      </c>
      <c r="N479" s="3" t="s">
        <v>26</v>
      </c>
      <c r="O479" s="5">
        <v>2</v>
      </c>
      <c r="P479" s="3" t="s">
        <v>23</v>
      </c>
      <c r="Q479" s="5"/>
    </row>
    <row r="480" spans="1:17" ht="46.5">
      <c r="A480" s="5">
        <v>475</v>
      </c>
      <c r="B480" s="6" t="s">
        <v>16</v>
      </c>
      <c r="C480" s="5" t="str">
        <f>HYPERLINK("http://data.overheid.nl/data/dataset/locaties-helicopterfotos-08-2007","Locaties helicopterfotos 08-2007")</f>
        <v>Locaties helicopterfotos 08-2007</v>
      </c>
      <c r="D480" s="6" t="s">
        <v>17</v>
      </c>
      <c r="E480" s="5" t="s">
        <v>18</v>
      </c>
      <c r="F480" s="6" t="s">
        <v>813</v>
      </c>
      <c r="G480" s="5" t="s">
        <v>346</v>
      </c>
      <c r="H480" s="6" t="s">
        <v>20</v>
      </c>
      <c r="I480" s="5" t="s">
        <v>21</v>
      </c>
      <c r="J480" s="4" t="s">
        <v>22</v>
      </c>
      <c r="K480" s="2" t="s">
        <v>23</v>
      </c>
      <c r="L480" s="6" t="s">
        <v>24</v>
      </c>
      <c r="M480" s="5" t="s">
        <v>25</v>
      </c>
      <c r="N480" s="3" t="s">
        <v>26</v>
      </c>
      <c r="O480" s="5">
        <v>2</v>
      </c>
      <c r="P480" s="3" t="s">
        <v>23</v>
      </c>
      <c r="Q480" s="5"/>
    </row>
    <row r="481" spans="1:17" ht="108.5">
      <c r="A481" s="5">
        <v>476</v>
      </c>
      <c r="B481" s="6" t="s">
        <v>16</v>
      </c>
      <c r="C481" s="5" t="str">
        <f>HYPERLINK("http://data.overheid.nl/data/dataset/zwevend-stof-fysisch-chemische-en-chemische-componenten","Zwevend stof - Fysisch-chemische en chemische componenten")</f>
        <v>Zwevend stof - Fysisch-chemische en chemische componenten</v>
      </c>
      <c r="D481" s="6" t="s">
        <v>17</v>
      </c>
      <c r="E481" s="5" t="s">
        <v>18</v>
      </c>
      <c r="F481" s="6" t="s">
        <v>813</v>
      </c>
      <c r="G481" s="5" t="s">
        <v>347</v>
      </c>
      <c r="H481" s="6" t="s">
        <v>20</v>
      </c>
      <c r="I481" s="5" t="s">
        <v>21</v>
      </c>
      <c r="J481" s="4" t="s">
        <v>22</v>
      </c>
      <c r="K481" s="2" t="s">
        <v>23</v>
      </c>
      <c r="L481" s="6" t="s">
        <v>24</v>
      </c>
      <c r="M481" s="5" t="s">
        <v>25</v>
      </c>
      <c r="N481" s="3" t="s">
        <v>26</v>
      </c>
      <c r="O481" s="5">
        <v>10</v>
      </c>
      <c r="P481" s="3" t="s">
        <v>23</v>
      </c>
      <c r="Q481" s="5"/>
    </row>
    <row r="482" spans="1:17" ht="62">
      <c r="A482" s="5">
        <v>477</v>
      </c>
      <c r="B482" s="6" t="s">
        <v>16</v>
      </c>
      <c r="C482" s="5" t="str">
        <f>HYPERLINK("http://data.overheid.nl/data/dataset/waterkwaliteit-projecten","Waterkwaliteit - Projecten")</f>
        <v>Waterkwaliteit - Projecten</v>
      </c>
      <c r="D482" s="6" t="s">
        <v>17</v>
      </c>
      <c r="E482" s="5" t="s">
        <v>18</v>
      </c>
      <c r="F482" s="6" t="s">
        <v>813</v>
      </c>
      <c r="G482" s="5" t="s">
        <v>348</v>
      </c>
      <c r="H482" s="6" t="s">
        <v>20</v>
      </c>
      <c r="I482" s="5" t="s">
        <v>21</v>
      </c>
      <c r="J482" s="7" t="s">
        <v>38</v>
      </c>
      <c r="K482" s="2" t="s">
        <v>23</v>
      </c>
      <c r="L482" s="6" t="s">
        <v>24</v>
      </c>
      <c r="M482" s="5" t="s">
        <v>25</v>
      </c>
      <c r="N482" s="3" t="s">
        <v>26</v>
      </c>
      <c r="O482" s="5">
        <v>2</v>
      </c>
      <c r="P482" s="3" t="s">
        <v>23</v>
      </c>
      <c r="Q482" s="5"/>
    </row>
    <row r="483" spans="1:17" ht="93">
      <c r="A483" s="5">
        <v>478</v>
      </c>
      <c r="B483" s="6" t="s">
        <v>16</v>
      </c>
      <c r="C483" s="5" t="str">
        <f>HYPERLINK("http://data.overheid.nl/data/dataset/waterkwaliteit-oppervlaktewater-fysisch-chemische-en-chemische-componenten","Waterkwaliteit Oppervlaktewater- Fysisch-chemische en chemische componenten")</f>
        <v>Waterkwaliteit Oppervlaktewater- Fysisch-chemische en chemische componenten</v>
      </c>
      <c r="D483" s="6" t="s">
        <v>17</v>
      </c>
      <c r="E483" s="5" t="s">
        <v>18</v>
      </c>
      <c r="F483" s="6" t="s">
        <v>813</v>
      </c>
      <c r="G483" s="5" t="s">
        <v>349</v>
      </c>
      <c r="H483" s="6" t="s">
        <v>20</v>
      </c>
      <c r="I483" s="5" t="s">
        <v>21</v>
      </c>
      <c r="J483" s="4" t="s">
        <v>22</v>
      </c>
      <c r="K483" s="2" t="s">
        <v>23</v>
      </c>
      <c r="L483" s="6" t="s">
        <v>24</v>
      </c>
      <c r="M483" s="5" t="s">
        <v>25</v>
      </c>
      <c r="N483" s="3" t="s">
        <v>26</v>
      </c>
      <c r="O483" s="5">
        <v>1</v>
      </c>
      <c r="P483" s="3" t="s">
        <v>23</v>
      </c>
      <c r="Q483" s="5"/>
    </row>
    <row r="484" spans="1:17" ht="46.5">
      <c r="A484" s="5">
        <v>479</v>
      </c>
      <c r="B484" s="6" t="s">
        <v>16</v>
      </c>
      <c r="C484" s="5" t="str">
        <f>HYPERLINK("http://data.overheid.nl/data/dataset/waterkwaliteit-biologisch-ecolims","Waterkwaliteit - Biologisch - Ecolims")</f>
        <v>Waterkwaliteit - Biologisch - Ecolims</v>
      </c>
      <c r="D484" s="6" t="s">
        <v>17</v>
      </c>
      <c r="E484" s="5" t="s">
        <v>18</v>
      </c>
      <c r="F484" s="6" t="s">
        <v>813</v>
      </c>
      <c r="G484" s="5" t="s">
        <v>350</v>
      </c>
      <c r="H484" s="6" t="s">
        <v>20</v>
      </c>
      <c r="I484" s="5" t="s">
        <v>21</v>
      </c>
      <c r="J484" s="4" t="s">
        <v>22</v>
      </c>
      <c r="K484" s="2" t="s">
        <v>23</v>
      </c>
      <c r="L484" s="6" t="s">
        <v>24</v>
      </c>
      <c r="M484" s="5" t="s">
        <v>25</v>
      </c>
      <c r="N484" s="3" t="s">
        <v>26</v>
      </c>
      <c r="O484" s="5">
        <v>1</v>
      </c>
      <c r="P484" s="3" t="s">
        <v>23</v>
      </c>
      <c r="Q484" s="5"/>
    </row>
    <row r="485" spans="1:17" ht="93">
      <c r="A485" s="5">
        <v>480</v>
      </c>
      <c r="B485" s="6" t="s">
        <v>16</v>
      </c>
      <c r="C485" s="5" t="str">
        <f>HYPERLINK("http://data.overheid.nl/data/dataset/waterbodem-fysisch-chemische-en-chemische-componenten","Waterbodem - Fysisch-chemische en chemische componenten")</f>
        <v>Waterbodem - Fysisch-chemische en chemische componenten</v>
      </c>
      <c r="D485" s="6" t="s">
        <v>17</v>
      </c>
      <c r="E485" s="5" t="s">
        <v>18</v>
      </c>
      <c r="F485" s="6" t="s">
        <v>813</v>
      </c>
      <c r="G485" s="5" t="s">
        <v>351</v>
      </c>
      <c r="H485" s="6" t="s">
        <v>20</v>
      </c>
      <c r="I485" s="5" t="s">
        <v>21</v>
      </c>
      <c r="J485" s="4" t="s">
        <v>22</v>
      </c>
      <c r="K485" s="2" t="s">
        <v>23</v>
      </c>
      <c r="L485" s="6" t="s">
        <v>24</v>
      </c>
      <c r="M485" s="5" t="s">
        <v>25</v>
      </c>
      <c r="N485" s="3" t="s">
        <v>26</v>
      </c>
      <c r="O485" s="5">
        <v>11</v>
      </c>
      <c r="P485" s="3" t="s">
        <v>23</v>
      </c>
      <c r="Q485" s="5"/>
    </row>
    <row r="486" spans="1:17" ht="310">
      <c r="A486" s="5">
        <v>481</v>
      </c>
      <c r="B486" s="6" t="s">
        <v>16</v>
      </c>
      <c r="C486" s="5" t="str">
        <f>HYPERLINK("http://data.overheid.nl/data/dataset/mirt-2014-lijnen","MIRT 2014 lijnen")</f>
        <v>MIRT 2014 lijnen</v>
      </c>
      <c r="D486" s="6" t="s">
        <v>17</v>
      </c>
      <c r="E486" s="5" t="s">
        <v>18</v>
      </c>
      <c r="F486" s="6" t="s">
        <v>813</v>
      </c>
      <c r="G486" s="5" t="s">
        <v>352</v>
      </c>
      <c r="H486" s="6" t="s">
        <v>20</v>
      </c>
      <c r="I486" s="5" t="s">
        <v>21</v>
      </c>
      <c r="J486" s="4" t="s">
        <v>22</v>
      </c>
      <c r="K486" s="2" t="s">
        <v>23</v>
      </c>
      <c r="L486" s="6" t="s">
        <v>24</v>
      </c>
      <c r="M486" s="5" t="s">
        <v>25</v>
      </c>
      <c r="N486" s="3" t="s">
        <v>26</v>
      </c>
      <c r="O486" s="5">
        <v>6</v>
      </c>
      <c r="P486" s="3" t="s">
        <v>23</v>
      </c>
      <c r="Q486" s="5"/>
    </row>
    <row r="487" spans="1:17" ht="31">
      <c r="A487" s="5">
        <v>482</v>
      </c>
      <c r="B487" s="6" t="s">
        <v>16</v>
      </c>
      <c r="C487" s="5" t="str">
        <f>HYPERLINK("http://data.overheid.nl/data/dataset/locaties-helicopterfotos-09-2008","Locaties helicopterfotos 09-2008")</f>
        <v>Locaties helicopterfotos 09-2008</v>
      </c>
      <c r="D487" s="6" t="s">
        <v>17</v>
      </c>
      <c r="E487" s="5" t="s">
        <v>18</v>
      </c>
      <c r="F487" s="6" t="s">
        <v>813</v>
      </c>
      <c r="G487" s="5" t="s">
        <v>353</v>
      </c>
      <c r="H487" s="6" t="s">
        <v>20</v>
      </c>
      <c r="I487" s="5" t="s">
        <v>21</v>
      </c>
      <c r="J487" s="4" t="s">
        <v>22</v>
      </c>
      <c r="K487" s="2" t="s">
        <v>23</v>
      </c>
      <c r="L487" s="6" t="s">
        <v>24</v>
      </c>
      <c r="M487" s="5" t="s">
        <v>25</v>
      </c>
      <c r="N487" s="3" t="s">
        <v>26</v>
      </c>
      <c r="O487" s="5">
        <v>2</v>
      </c>
      <c r="P487" s="3" t="s">
        <v>23</v>
      </c>
      <c r="Q487" s="5"/>
    </row>
    <row r="488" spans="1:17" ht="46.5">
      <c r="A488" s="5">
        <v>483</v>
      </c>
      <c r="B488" s="6" t="s">
        <v>16</v>
      </c>
      <c r="C488" s="5" t="str">
        <f>HYPERLINK("http://data.overheid.nl/data/dataset/westerschelde-2015-orthofotomozaiek-falsecolor-ecw","Westerschelde_2015_orthofotomozaiek_falsecolor_ecw")</f>
        <v>Westerschelde_2015_orthofotomozaiek_falsecolor_ecw</v>
      </c>
      <c r="D488" s="6" t="s">
        <v>17</v>
      </c>
      <c r="E488" s="5" t="s">
        <v>18</v>
      </c>
      <c r="F488" s="6" t="s">
        <v>813</v>
      </c>
      <c r="G488" s="5" t="s">
        <v>354</v>
      </c>
      <c r="H488" s="6" t="s">
        <v>20</v>
      </c>
      <c r="I488" s="5" t="s">
        <v>21</v>
      </c>
      <c r="J488" s="4" t="s">
        <v>22</v>
      </c>
      <c r="K488" s="2" t="s">
        <v>23</v>
      </c>
      <c r="L488" s="6" t="s">
        <v>24</v>
      </c>
      <c r="M488" s="5" t="s">
        <v>25</v>
      </c>
      <c r="N488" s="3" t="s">
        <v>26</v>
      </c>
      <c r="O488" s="5">
        <v>2</v>
      </c>
      <c r="P488" s="3" t="s">
        <v>23</v>
      </c>
      <c r="Q488" s="5"/>
    </row>
    <row r="489" spans="1:17" ht="62">
      <c r="A489" s="5">
        <v>484</v>
      </c>
      <c r="B489" s="6" t="s">
        <v>16</v>
      </c>
      <c r="C489" s="5" t="str">
        <f>HYPERLINK("http://data.overheid.nl/data/dataset/wingebieden-op-de-noordzee","Wingebieden op de Noordzee")</f>
        <v>Wingebieden op de Noordzee</v>
      </c>
      <c r="D489" s="6" t="s">
        <v>17</v>
      </c>
      <c r="E489" s="5" t="s">
        <v>18</v>
      </c>
      <c r="F489" s="6" t="s">
        <v>813</v>
      </c>
      <c r="G489" s="5" t="s">
        <v>355</v>
      </c>
      <c r="H489" s="6" t="s">
        <v>20</v>
      </c>
      <c r="I489" s="5" t="s">
        <v>21</v>
      </c>
      <c r="J489" s="4" t="s">
        <v>22</v>
      </c>
      <c r="K489" s="2" t="s">
        <v>23</v>
      </c>
      <c r="L489" s="6" t="s">
        <v>24</v>
      </c>
      <c r="M489" s="5" t="s">
        <v>25</v>
      </c>
      <c r="N489" s="3" t="s">
        <v>26</v>
      </c>
      <c r="O489" s="5">
        <v>8</v>
      </c>
      <c r="P489" s="3" t="s">
        <v>23</v>
      </c>
      <c r="Q489" s="5"/>
    </row>
    <row r="490" spans="1:17" ht="31">
      <c r="A490" s="5">
        <v>485</v>
      </c>
      <c r="B490" s="6" t="s">
        <v>16</v>
      </c>
      <c r="C490" s="5" t="str">
        <f>HYPERLINK("http://data.overheid.nl/data/dataset/kadastrale-grenzen-voor-dekkingsgebied-vegetatielegger","Kadastrale grenzen voor dekkingsgebied Vegetatielegger")</f>
        <v>Kadastrale grenzen voor dekkingsgebied Vegetatielegger</v>
      </c>
      <c r="D490" s="6" t="s">
        <v>17</v>
      </c>
      <c r="E490" s="5" t="s">
        <v>18</v>
      </c>
      <c r="F490" s="6" t="s">
        <v>813</v>
      </c>
      <c r="G490" s="5" t="s">
        <v>356</v>
      </c>
      <c r="H490" s="6" t="s">
        <v>20</v>
      </c>
      <c r="I490" s="5" t="s">
        <v>21</v>
      </c>
      <c r="J490" s="4" t="s">
        <v>22</v>
      </c>
      <c r="K490" s="2" t="s">
        <v>23</v>
      </c>
      <c r="L490" s="6" t="s">
        <v>24</v>
      </c>
      <c r="M490" s="5" t="s">
        <v>25</v>
      </c>
      <c r="N490" s="3" t="s">
        <v>26</v>
      </c>
      <c r="O490" s="5">
        <v>2</v>
      </c>
      <c r="P490" s="3" t="s">
        <v>23</v>
      </c>
      <c r="Q490" s="5"/>
    </row>
    <row r="491" spans="1:17" ht="46.5">
      <c r="A491" s="5">
        <v>486</v>
      </c>
      <c r="B491" s="6" t="s">
        <v>16</v>
      </c>
      <c r="C491" s="5" t="str">
        <f>HYPERLINK("http://data.overheid.nl/data/dataset/aanleginrichtingen-waddenzee-overig","Aanleginrichtingen Waddenzee overig")</f>
        <v>Aanleginrichtingen Waddenzee overig</v>
      </c>
      <c r="D491" s="6" t="s">
        <v>17</v>
      </c>
      <c r="E491" s="5" t="s">
        <v>357</v>
      </c>
      <c r="F491" s="6" t="s">
        <v>813</v>
      </c>
      <c r="G491" s="5" t="s">
        <v>358</v>
      </c>
      <c r="H491" s="6" t="s">
        <v>20</v>
      </c>
      <c r="I491" s="5" t="s">
        <v>21</v>
      </c>
      <c r="J491" s="4" t="s">
        <v>22</v>
      </c>
      <c r="K491" s="2" t="s">
        <v>23</v>
      </c>
      <c r="L491" s="6" t="s">
        <v>24</v>
      </c>
      <c r="M491" s="5" t="s">
        <v>25</v>
      </c>
      <c r="N491" s="3" t="s">
        <v>26</v>
      </c>
      <c r="O491" s="5">
        <v>1</v>
      </c>
      <c r="P491" s="3" t="s">
        <v>23</v>
      </c>
      <c r="Q491" s="5"/>
    </row>
    <row r="492" spans="1:17" ht="77.5">
      <c r="A492" s="5">
        <v>487</v>
      </c>
      <c r="B492" s="6" t="s">
        <v>16</v>
      </c>
      <c r="C492" s="5" t="str">
        <f>HYPERLINK("http://data.overheid.nl/data/dataset/overzicht-vlieglijnen-zandmotor-2012","Overzicht vlieglijnen zandmotor 2012")</f>
        <v>Overzicht vlieglijnen zandmotor 2012</v>
      </c>
      <c r="D492" s="6" t="s">
        <v>17</v>
      </c>
      <c r="E492" s="5" t="s">
        <v>18</v>
      </c>
      <c r="F492" s="6" t="s">
        <v>813</v>
      </c>
      <c r="G492" s="5" t="s">
        <v>359</v>
      </c>
      <c r="H492" s="6" t="s">
        <v>20</v>
      </c>
      <c r="I492" s="5" t="s">
        <v>21</v>
      </c>
      <c r="J492" s="4" t="s">
        <v>22</v>
      </c>
      <c r="K492" s="2" t="s">
        <v>23</v>
      </c>
      <c r="L492" s="6" t="s">
        <v>24</v>
      </c>
      <c r="M492" s="5" t="s">
        <v>25</v>
      </c>
      <c r="N492" s="3" t="s">
        <v>26</v>
      </c>
      <c r="O492" s="5">
        <v>2</v>
      </c>
      <c r="P492" s="3" t="s">
        <v>23</v>
      </c>
      <c r="Q492" s="5"/>
    </row>
    <row r="493" spans="1:17" ht="248">
      <c r="A493" s="5">
        <v>488</v>
      </c>
      <c r="B493" s="6" t="s">
        <v>16</v>
      </c>
      <c r="C493" s="5" t="str">
        <f>HYPERLINK("http://data.overheid.nl/data/dataset/bodembeheergrens-rd","Bodembeheergrens RD")</f>
        <v>Bodembeheergrens RD</v>
      </c>
      <c r="D493" s="6" t="s">
        <v>17</v>
      </c>
      <c r="E493" s="5" t="s">
        <v>18</v>
      </c>
      <c r="F493" s="6" t="s">
        <v>813</v>
      </c>
      <c r="G493" s="5" t="s">
        <v>360</v>
      </c>
      <c r="H493" s="6" t="s">
        <v>20</v>
      </c>
      <c r="I493" s="5" t="s">
        <v>21</v>
      </c>
      <c r="J493" s="4" t="s">
        <v>22</v>
      </c>
      <c r="K493" s="2" t="s">
        <v>23</v>
      </c>
      <c r="L493" s="6" t="s">
        <v>24</v>
      </c>
      <c r="M493" s="5" t="s">
        <v>25</v>
      </c>
      <c r="N493" s="3" t="s">
        <v>26</v>
      </c>
      <c r="O493" s="5">
        <v>2</v>
      </c>
      <c r="P493" s="3" t="s">
        <v>23</v>
      </c>
      <c r="Q493" s="5"/>
    </row>
    <row r="494" spans="1:17" ht="248">
      <c r="A494" s="5">
        <v>489</v>
      </c>
      <c r="B494" s="6" t="s">
        <v>16</v>
      </c>
      <c r="C494" s="5" t="str">
        <f>HYPERLINK("http://data.overheid.nl/data/dataset/bodembeheergrens","Bodembeheergrens")</f>
        <v>Bodembeheergrens</v>
      </c>
      <c r="D494" s="6" t="s">
        <v>17</v>
      </c>
      <c r="E494" s="5" t="s">
        <v>18</v>
      </c>
      <c r="F494" s="6" t="s">
        <v>813</v>
      </c>
      <c r="G494" s="5" t="s">
        <v>360</v>
      </c>
      <c r="H494" s="6" t="s">
        <v>20</v>
      </c>
      <c r="I494" s="5" t="s">
        <v>21</v>
      </c>
      <c r="J494" s="4" t="s">
        <v>22</v>
      </c>
      <c r="K494" s="2" t="s">
        <v>23</v>
      </c>
      <c r="L494" s="6" t="s">
        <v>24</v>
      </c>
      <c r="M494" s="5" t="s">
        <v>25</v>
      </c>
      <c r="N494" s="3" t="s">
        <v>26</v>
      </c>
      <c r="O494" s="5">
        <v>2</v>
      </c>
      <c r="P494" s="3" t="s">
        <v>23</v>
      </c>
      <c r="Q494" s="5"/>
    </row>
    <row r="495" spans="1:17" ht="31">
      <c r="A495" s="5">
        <v>490</v>
      </c>
      <c r="B495" s="6" t="s">
        <v>16</v>
      </c>
      <c r="C495" s="5" t="str">
        <f>HYPERLINK("http://data.overheid.nl/data/dataset/waddenzee-west-2011","Waddenzee west 2011")</f>
        <v>Waddenzee west 2011</v>
      </c>
      <c r="D495" s="6" t="s">
        <v>17</v>
      </c>
      <c r="E495" s="5" t="s">
        <v>18</v>
      </c>
      <c r="F495" s="6" t="s">
        <v>813</v>
      </c>
      <c r="G495" s="5" t="s">
        <v>361</v>
      </c>
      <c r="H495" s="6" t="s">
        <v>20</v>
      </c>
      <c r="I495" s="5" t="s">
        <v>21</v>
      </c>
      <c r="J495" s="4" t="s">
        <v>22</v>
      </c>
      <c r="K495" s="2" t="s">
        <v>23</v>
      </c>
      <c r="L495" s="6" t="s">
        <v>24</v>
      </c>
      <c r="M495" s="5" t="s">
        <v>25</v>
      </c>
      <c r="N495" s="3" t="s">
        <v>26</v>
      </c>
      <c r="O495" s="5">
        <v>2</v>
      </c>
      <c r="P495" s="3" t="s">
        <v>23</v>
      </c>
      <c r="Q495" s="5"/>
    </row>
    <row r="496" spans="1:17" ht="31">
      <c r="A496" s="5">
        <v>491</v>
      </c>
      <c r="B496" s="6" t="s">
        <v>16</v>
      </c>
      <c r="C496" s="5" t="str">
        <f>HYPERLINK("http://data.overheid.nl/data/dataset/waddenzee-midden-2011","Waddenzee midden 2011")</f>
        <v>Waddenzee midden 2011</v>
      </c>
      <c r="D496" s="6" t="s">
        <v>17</v>
      </c>
      <c r="E496" s="5" t="s">
        <v>18</v>
      </c>
      <c r="F496" s="6" t="s">
        <v>813</v>
      </c>
      <c r="G496" s="5" t="s">
        <v>362</v>
      </c>
      <c r="H496" s="6" t="s">
        <v>20</v>
      </c>
      <c r="I496" s="5" t="s">
        <v>21</v>
      </c>
      <c r="J496" s="4" t="s">
        <v>22</v>
      </c>
      <c r="K496" s="2" t="s">
        <v>23</v>
      </c>
      <c r="L496" s="6" t="s">
        <v>24</v>
      </c>
      <c r="M496" s="5" t="s">
        <v>25</v>
      </c>
      <c r="N496" s="3" t="s">
        <v>26</v>
      </c>
      <c r="O496" s="5">
        <v>2</v>
      </c>
      <c r="P496" s="3" t="s">
        <v>23</v>
      </c>
      <c r="Q496" s="5"/>
    </row>
    <row r="497" spans="1:17" ht="62">
      <c r="A497" s="5">
        <v>492</v>
      </c>
      <c r="B497" s="6" t="s">
        <v>16</v>
      </c>
      <c r="C497" s="5" t="str">
        <f>HYPERLINK("http://data.overheid.nl/data/dataset/overzicht-vlieglijnen-wadden-west-2011","Overzicht vlieglijnen Wadden west 2011")</f>
        <v>Overzicht vlieglijnen Wadden west 2011</v>
      </c>
      <c r="D497" s="6" t="s">
        <v>17</v>
      </c>
      <c r="E497" s="5" t="s">
        <v>18</v>
      </c>
      <c r="F497" s="6" t="s">
        <v>813</v>
      </c>
      <c r="G497" s="5" t="s">
        <v>363</v>
      </c>
      <c r="H497" s="6" t="s">
        <v>20</v>
      </c>
      <c r="I497" s="5" t="s">
        <v>21</v>
      </c>
      <c r="J497" s="4" t="s">
        <v>22</v>
      </c>
      <c r="K497" s="2" t="s">
        <v>23</v>
      </c>
      <c r="L497" s="6" t="s">
        <v>24</v>
      </c>
      <c r="M497" s="5" t="s">
        <v>25</v>
      </c>
      <c r="N497" s="3" t="s">
        <v>26</v>
      </c>
      <c r="O497" s="5">
        <v>2</v>
      </c>
      <c r="P497" s="3" t="s">
        <v>23</v>
      </c>
      <c r="Q497" s="5"/>
    </row>
    <row r="498" spans="1:17" ht="62">
      <c r="A498" s="5">
        <v>493</v>
      </c>
      <c r="B498" s="6" t="s">
        <v>16</v>
      </c>
      <c r="C498" s="5" t="str">
        <f>HYPERLINK("http://data.overheid.nl/data/dataset/overzicht-vlieglijnen-wadden-midden-2011","Overzicht vlieglijnen Wadden midden 2011")</f>
        <v>Overzicht vlieglijnen Wadden midden 2011</v>
      </c>
      <c r="D498" s="6" t="s">
        <v>17</v>
      </c>
      <c r="E498" s="5" t="s">
        <v>18</v>
      </c>
      <c r="F498" s="6" t="s">
        <v>813</v>
      </c>
      <c r="G498" s="5" t="s">
        <v>363</v>
      </c>
      <c r="H498" s="6" t="s">
        <v>20</v>
      </c>
      <c r="I498" s="5" t="s">
        <v>21</v>
      </c>
      <c r="J498" s="4" t="s">
        <v>22</v>
      </c>
      <c r="K498" s="2" t="s">
        <v>23</v>
      </c>
      <c r="L498" s="6" t="s">
        <v>24</v>
      </c>
      <c r="M498" s="5" t="s">
        <v>25</v>
      </c>
      <c r="N498" s="3" t="s">
        <v>26</v>
      </c>
      <c r="O498" s="5">
        <v>2</v>
      </c>
      <c r="P498" s="3" t="s">
        <v>23</v>
      </c>
      <c r="Q498" s="5"/>
    </row>
    <row r="499" spans="1:17" ht="77.5">
      <c r="A499" s="5">
        <v>494</v>
      </c>
      <c r="B499" s="6" t="s">
        <v>16</v>
      </c>
      <c r="C499" s="5" t="str">
        <f>HYPERLINK("http://data.overheid.nl/data/dataset/hoogtebestand-westerschelde-2012","Hoogtebestand Westerschelde 2012")</f>
        <v>Hoogtebestand Westerschelde 2012</v>
      </c>
      <c r="D499" s="6" t="s">
        <v>17</v>
      </c>
      <c r="E499" s="5" t="s">
        <v>18</v>
      </c>
      <c r="F499" s="6" t="s">
        <v>813</v>
      </c>
      <c r="G499" s="5" t="s">
        <v>364</v>
      </c>
      <c r="H499" s="6" t="s">
        <v>20</v>
      </c>
      <c r="I499" s="5" t="s">
        <v>21</v>
      </c>
      <c r="J499" s="4" t="s">
        <v>22</v>
      </c>
      <c r="K499" s="2" t="s">
        <v>23</v>
      </c>
      <c r="L499" s="6" t="s">
        <v>24</v>
      </c>
      <c r="M499" s="5" t="s">
        <v>25</v>
      </c>
      <c r="N499" s="3" t="s">
        <v>26</v>
      </c>
      <c r="O499" s="5">
        <v>2</v>
      </c>
      <c r="P499" s="3" t="s">
        <v>23</v>
      </c>
      <c r="Q499" s="5"/>
    </row>
    <row r="500" spans="1:17" ht="124">
      <c r="A500" s="5">
        <v>495</v>
      </c>
      <c r="B500" s="6" t="s">
        <v>16</v>
      </c>
      <c r="C500" s="5" t="str">
        <f>HYPERLINK("http://data.overheid.nl/data/dataset/begrenzingslijn-basisnet-westerschelde-vlak-etrs89-31n","Begrenzingslijn Basisnet Westerschelde vlak ETRS89 31N")</f>
        <v>Begrenzingslijn Basisnet Westerschelde vlak ETRS89 31N</v>
      </c>
      <c r="D500" s="6" t="s">
        <v>17</v>
      </c>
      <c r="E500" s="5" t="s">
        <v>18</v>
      </c>
      <c r="F500" s="6" t="s">
        <v>813</v>
      </c>
      <c r="G500" s="5" t="s">
        <v>365</v>
      </c>
      <c r="H500" s="6" t="s">
        <v>20</v>
      </c>
      <c r="I500" s="5" t="s">
        <v>21</v>
      </c>
      <c r="J500" s="4" t="s">
        <v>22</v>
      </c>
      <c r="K500" s="2" t="s">
        <v>23</v>
      </c>
      <c r="L500" s="6" t="s">
        <v>24</v>
      </c>
      <c r="M500" s="5" t="s">
        <v>25</v>
      </c>
      <c r="N500" s="3" t="s">
        <v>26</v>
      </c>
      <c r="O500" s="5">
        <v>2</v>
      </c>
      <c r="P500" s="3" t="s">
        <v>23</v>
      </c>
      <c r="Q500" s="5"/>
    </row>
    <row r="501" spans="1:17" ht="124">
      <c r="A501" s="5">
        <v>496</v>
      </c>
      <c r="B501" s="6" t="s">
        <v>16</v>
      </c>
      <c r="C501" s="5" t="str">
        <f>HYPERLINK("http://data.overheid.nl/data/dataset/begrenzingslijn-basisnet-westerschelder-lijn-rd","Begrenzingslijn Basisnet Westerschelder lijn RD")</f>
        <v>Begrenzingslijn Basisnet Westerschelder lijn RD</v>
      </c>
      <c r="D501" s="6" t="s">
        <v>17</v>
      </c>
      <c r="E501" s="5" t="s">
        <v>18</v>
      </c>
      <c r="F501" s="6" t="s">
        <v>813</v>
      </c>
      <c r="G501" s="5" t="s">
        <v>366</v>
      </c>
      <c r="H501" s="6" t="s">
        <v>20</v>
      </c>
      <c r="I501" s="5" t="s">
        <v>21</v>
      </c>
      <c r="J501" s="4" t="s">
        <v>22</v>
      </c>
      <c r="K501" s="2" t="s">
        <v>23</v>
      </c>
      <c r="L501" s="6" t="s">
        <v>24</v>
      </c>
      <c r="M501" s="5" t="s">
        <v>25</v>
      </c>
      <c r="N501" s="3" t="s">
        <v>26</v>
      </c>
      <c r="O501" s="5">
        <v>2</v>
      </c>
      <c r="P501" s="3" t="s">
        <v>23</v>
      </c>
      <c r="Q501" s="5"/>
    </row>
    <row r="502" spans="1:17" ht="108.5">
      <c r="A502" s="5">
        <v>497</v>
      </c>
      <c r="B502" s="6" t="s">
        <v>16</v>
      </c>
      <c r="C502" s="5" t="str">
        <f>HYPERLINK("http://data.overheid.nl/data/dataset/begrenzingslijn-basisnet-westerschelde-rd","Begrenzingslijn Basisnet Westerschelde RD")</f>
        <v>Begrenzingslijn Basisnet Westerschelde RD</v>
      </c>
      <c r="D502" s="6" t="s">
        <v>17</v>
      </c>
      <c r="E502" s="5" t="s">
        <v>18</v>
      </c>
      <c r="F502" s="6" t="s">
        <v>813</v>
      </c>
      <c r="G502" s="5" t="s">
        <v>367</v>
      </c>
      <c r="H502" s="6" t="s">
        <v>20</v>
      </c>
      <c r="I502" s="5" t="s">
        <v>21</v>
      </c>
      <c r="J502" s="4" t="s">
        <v>22</v>
      </c>
      <c r="K502" s="2" t="s">
        <v>23</v>
      </c>
      <c r="L502" s="6" t="s">
        <v>24</v>
      </c>
      <c r="M502" s="5" t="s">
        <v>25</v>
      </c>
      <c r="N502" s="3" t="s">
        <v>26</v>
      </c>
      <c r="O502" s="5">
        <v>2</v>
      </c>
      <c r="P502" s="3" t="s">
        <v>23</v>
      </c>
      <c r="Q502" s="5"/>
    </row>
    <row r="503" spans="1:17" ht="124">
      <c r="A503" s="5">
        <v>498</v>
      </c>
      <c r="B503" s="6" t="s">
        <v>16</v>
      </c>
      <c r="C503" s="5" t="str">
        <f>HYPERLINK("http://data.overheid.nl/data/dataset/begrenzingslijn-basisnet-westerschelde-lijn-etrs89-31n","Begrenzingslijn Basisnet Westerschelde lijn ETRS89 31N")</f>
        <v>Begrenzingslijn Basisnet Westerschelde lijn ETRS89 31N</v>
      </c>
      <c r="D503" s="6" t="s">
        <v>17</v>
      </c>
      <c r="E503" s="5" t="s">
        <v>18</v>
      </c>
      <c r="F503" s="6" t="s">
        <v>813</v>
      </c>
      <c r="G503" s="5" t="s">
        <v>368</v>
      </c>
      <c r="H503" s="6" t="s">
        <v>20</v>
      </c>
      <c r="I503" s="5" t="s">
        <v>21</v>
      </c>
      <c r="J503" s="4" t="s">
        <v>22</v>
      </c>
      <c r="K503" s="2" t="s">
        <v>23</v>
      </c>
      <c r="L503" s="6" t="s">
        <v>24</v>
      </c>
      <c r="M503" s="5" t="s">
        <v>25</v>
      </c>
      <c r="N503" s="3" t="s">
        <v>26</v>
      </c>
      <c r="O503" s="5">
        <v>2</v>
      </c>
      <c r="P503" s="3" t="s">
        <v>23</v>
      </c>
      <c r="Q503" s="5"/>
    </row>
    <row r="504" spans="1:17" ht="31">
      <c r="A504" s="5">
        <v>499</v>
      </c>
      <c r="B504" s="6" t="s">
        <v>16</v>
      </c>
      <c r="C504" s="5" t="str">
        <f>HYPERLINK("http://data.overheid.nl/data/dataset/posities-van-turbines-zoals-deze-zijn-vastgelegd-in-de-vergunningen","Posities van turbines zoals deze zijn vastgelegd in de vergunningen")</f>
        <v>Posities van turbines zoals deze zijn vastgelegd in de vergunningen</v>
      </c>
      <c r="D504" s="6" t="s">
        <v>17</v>
      </c>
      <c r="E504" s="5" t="s">
        <v>18</v>
      </c>
      <c r="F504" s="6" t="s">
        <v>813</v>
      </c>
      <c r="G504" s="5" t="s">
        <v>369</v>
      </c>
      <c r="H504" s="6" t="s">
        <v>20</v>
      </c>
      <c r="I504" s="5" t="s">
        <v>21</v>
      </c>
      <c r="J504" s="4" t="s">
        <v>22</v>
      </c>
      <c r="K504" s="2" t="s">
        <v>23</v>
      </c>
      <c r="L504" s="6" t="s">
        <v>24</v>
      </c>
      <c r="M504" s="5" t="s">
        <v>25</v>
      </c>
      <c r="N504" s="3" t="s">
        <v>26</v>
      </c>
      <c r="O504" s="5">
        <v>2</v>
      </c>
      <c r="P504" s="3" t="s">
        <v>23</v>
      </c>
      <c r="Q504" s="5"/>
    </row>
    <row r="505" spans="1:17" ht="77.5">
      <c r="A505" s="5">
        <v>500</v>
      </c>
      <c r="B505" s="6" t="s">
        <v>16</v>
      </c>
      <c r="C505" s="5" t="str">
        <f>HYPERLINK("http://data.overheid.nl/data/dataset/oosterschelde-2009-orthofotomozaiek-falsecolor-ecw-ld","Oosterschelde_2009_orthofotomozaiek_falsecolor_ecw_ld")</f>
        <v>Oosterschelde_2009_orthofotomozaiek_falsecolor_ecw_ld</v>
      </c>
      <c r="D505" s="6" t="s">
        <v>17</v>
      </c>
      <c r="E505" s="5" t="s">
        <v>18</v>
      </c>
      <c r="F505" s="6" t="s">
        <v>813</v>
      </c>
      <c r="G505" s="5" t="s">
        <v>370</v>
      </c>
      <c r="H505" s="6" t="s">
        <v>20</v>
      </c>
      <c r="I505" s="5" t="s">
        <v>21</v>
      </c>
      <c r="J505" s="4" t="s">
        <v>22</v>
      </c>
      <c r="K505" s="2" t="s">
        <v>23</v>
      </c>
      <c r="L505" s="6" t="s">
        <v>24</v>
      </c>
      <c r="M505" s="5" t="s">
        <v>25</v>
      </c>
      <c r="N505" s="3" t="s">
        <v>26</v>
      </c>
      <c r="O505" s="5">
        <v>2</v>
      </c>
      <c r="P505" s="3" t="s">
        <v>23</v>
      </c>
      <c r="Q505" s="5"/>
    </row>
    <row r="506" spans="1:17" ht="62">
      <c r="A506" s="5">
        <v>501</v>
      </c>
      <c r="B506" s="6" t="s">
        <v>16</v>
      </c>
      <c r="C506" s="5" t="str">
        <f>HYPERLINK("http://data.overheid.nl/data/dataset/oosterschelde-2009-orthofotomozaiek-falsecolor-ecw","Oosterschelde_2009_orthofotomozaiek_falsecolor_ecw")</f>
        <v>Oosterschelde_2009_orthofotomozaiek_falsecolor_ecw</v>
      </c>
      <c r="D506" s="6" t="s">
        <v>17</v>
      </c>
      <c r="E506" s="5" t="s">
        <v>18</v>
      </c>
      <c r="F506" s="6" t="s">
        <v>813</v>
      </c>
      <c r="G506" s="5" t="s">
        <v>371</v>
      </c>
      <c r="H506" s="6" t="s">
        <v>20</v>
      </c>
      <c r="I506" s="5" t="s">
        <v>21</v>
      </c>
      <c r="J506" s="4" t="s">
        <v>22</v>
      </c>
      <c r="K506" s="2" t="s">
        <v>23</v>
      </c>
      <c r="L506" s="6" t="s">
        <v>24</v>
      </c>
      <c r="M506" s="5" t="s">
        <v>25</v>
      </c>
      <c r="N506" s="3" t="s">
        <v>26</v>
      </c>
      <c r="O506" s="5">
        <v>2</v>
      </c>
      <c r="P506" s="3" t="s">
        <v>23</v>
      </c>
      <c r="Q506" s="5"/>
    </row>
    <row r="507" spans="1:17" ht="46.5">
      <c r="A507" s="5">
        <v>502</v>
      </c>
      <c r="B507" s="6" t="s">
        <v>16</v>
      </c>
      <c r="C507" s="5" t="str">
        <f>HYPERLINK("http://data.overheid.nl/data/dataset/kwaliteit-kunstwerken-2009","Kwaliteit kunstwerken 2009")</f>
        <v>Kwaliteit kunstwerken 2009</v>
      </c>
      <c r="D507" s="6" t="s">
        <v>17</v>
      </c>
      <c r="E507" s="5" t="s">
        <v>18</v>
      </c>
      <c r="F507" s="6" t="s">
        <v>813</v>
      </c>
      <c r="G507" s="5" t="s">
        <v>200</v>
      </c>
      <c r="H507" s="6" t="s">
        <v>20</v>
      </c>
      <c r="I507" s="5" t="s">
        <v>21</v>
      </c>
      <c r="J507" s="4" t="s">
        <v>22</v>
      </c>
      <c r="K507" s="2" t="s">
        <v>23</v>
      </c>
      <c r="L507" s="6" t="s">
        <v>24</v>
      </c>
      <c r="M507" s="5" t="s">
        <v>25</v>
      </c>
      <c r="N507" s="3" t="s">
        <v>26</v>
      </c>
      <c r="O507" s="5">
        <v>6</v>
      </c>
      <c r="P507" s="3" t="s">
        <v>23</v>
      </c>
      <c r="Q507" s="5"/>
    </row>
    <row r="508" spans="1:17" ht="31">
      <c r="A508" s="5">
        <v>503</v>
      </c>
      <c r="B508" s="6" t="s">
        <v>16</v>
      </c>
      <c r="C508" s="5" t="str">
        <f>HYPERLINK("http://data.overheid.nl/data/dataset/beeldbank-foto-s-en-video-s-zoeken","Beeldbank - Foto's en video's zoeken")</f>
        <v>Beeldbank - Foto's en video's zoeken</v>
      </c>
      <c r="D508" s="6" t="s">
        <v>17</v>
      </c>
      <c r="E508" s="5" t="s">
        <v>18</v>
      </c>
      <c r="F508" s="6" t="s">
        <v>813</v>
      </c>
      <c r="G508" s="5" t="s">
        <v>372</v>
      </c>
      <c r="H508" s="6" t="s">
        <v>20</v>
      </c>
      <c r="I508" s="5" t="s">
        <v>21</v>
      </c>
      <c r="J508" s="4" t="s">
        <v>22</v>
      </c>
      <c r="K508" s="2" t="s">
        <v>23</v>
      </c>
      <c r="L508" s="6" t="s">
        <v>24</v>
      </c>
      <c r="M508" s="5" t="s">
        <v>25</v>
      </c>
      <c r="N508" s="3" t="s">
        <v>26</v>
      </c>
      <c r="O508" s="5">
        <v>2</v>
      </c>
      <c r="P508" s="3" t="s">
        <v>23</v>
      </c>
      <c r="Q508" s="5"/>
    </row>
    <row r="509" spans="1:17" ht="62">
      <c r="A509" s="5">
        <v>504</v>
      </c>
      <c r="B509" s="6" t="s">
        <v>16</v>
      </c>
      <c r="C509" s="5" t="str">
        <f>HYPERLINK("http://data.overheid.nl/data/dataset/overzicht-vlieglijnen-kribben-waal-2012","Overzicht vlieglijnen kribben Waal 2012")</f>
        <v>Overzicht vlieglijnen kribben Waal 2012</v>
      </c>
      <c r="D509" s="6" t="s">
        <v>17</v>
      </c>
      <c r="E509" s="5" t="s">
        <v>18</v>
      </c>
      <c r="F509" s="6" t="s">
        <v>813</v>
      </c>
      <c r="G509" s="5" t="s">
        <v>195</v>
      </c>
      <c r="H509" s="6" t="s">
        <v>20</v>
      </c>
      <c r="I509" s="5" t="s">
        <v>21</v>
      </c>
      <c r="J509" s="4" t="s">
        <v>22</v>
      </c>
      <c r="K509" s="2" t="s">
        <v>23</v>
      </c>
      <c r="L509" s="6" t="s">
        <v>24</v>
      </c>
      <c r="M509" s="5" t="s">
        <v>25</v>
      </c>
      <c r="N509" s="3" t="s">
        <v>26</v>
      </c>
      <c r="O509" s="5">
        <v>2</v>
      </c>
      <c r="P509" s="3" t="s">
        <v>23</v>
      </c>
      <c r="Q509" s="5"/>
    </row>
    <row r="510" spans="1:17" ht="62">
      <c r="A510" s="5">
        <v>505</v>
      </c>
      <c r="B510" s="6" t="s">
        <v>16</v>
      </c>
      <c r="C510" s="5" t="str">
        <f>HYPERLINK("http://data.overheid.nl/data/dataset/overzicht-vlieglijnen-kribben-waal-2011","Overzicht vlieglijnen kribben Waal 2011")</f>
        <v>Overzicht vlieglijnen kribben Waal 2011</v>
      </c>
      <c r="D510" s="6" t="s">
        <v>17</v>
      </c>
      <c r="E510" s="5" t="s">
        <v>18</v>
      </c>
      <c r="F510" s="6" t="s">
        <v>813</v>
      </c>
      <c r="G510" s="5" t="s">
        <v>195</v>
      </c>
      <c r="H510" s="6" t="s">
        <v>20</v>
      </c>
      <c r="I510" s="5" t="s">
        <v>21</v>
      </c>
      <c r="J510" s="4" t="s">
        <v>22</v>
      </c>
      <c r="K510" s="2" t="s">
        <v>23</v>
      </c>
      <c r="L510" s="6" t="s">
        <v>24</v>
      </c>
      <c r="M510" s="5" t="s">
        <v>25</v>
      </c>
      <c r="N510" s="3" t="s">
        <v>26</v>
      </c>
      <c r="O510" s="5">
        <v>2</v>
      </c>
      <c r="P510" s="3" t="s">
        <v>23</v>
      </c>
      <c r="Q510" s="5"/>
    </row>
    <row r="511" spans="1:17" ht="31">
      <c r="A511" s="5">
        <v>506</v>
      </c>
      <c r="B511" s="6" t="s">
        <v>16</v>
      </c>
      <c r="C511" s="5" t="str">
        <f>HYPERLINK("http://data.overheid.nl/data/dataset/kaarten-beleidslijn-grote-rivieren","Kaarten Beleidslijn Grote Rivieren")</f>
        <v>Kaarten Beleidslijn Grote Rivieren</v>
      </c>
      <c r="D511" s="6" t="s">
        <v>17</v>
      </c>
      <c r="E511" s="5" t="s">
        <v>18</v>
      </c>
      <c r="F511" s="6" t="s">
        <v>813</v>
      </c>
      <c r="G511" s="5" t="s">
        <v>373</v>
      </c>
      <c r="H511" s="6" t="s">
        <v>20</v>
      </c>
      <c r="I511" s="5" t="s">
        <v>21</v>
      </c>
      <c r="J511" s="4" t="s">
        <v>22</v>
      </c>
      <c r="K511" s="2" t="s">
        <v>23</v>
      </c>
      <c r="L511" s="6" t="s">
        <v>24</v>
      </c>
      <c r="M511" s="5" t="s">
        <v>25</v>
      </c>
      <c r="N511" s="3" t="s">
        <v>26</v>
      </c>
      <c r="O511" s="5">
        <v>2</v>
      </c>
      <c r="P511" s="3" t="s">
        <v>23</v>
      </c>
      <c r="Q511" s="5"/>
    </row>
    <row r="512" spans="1:17" ht="93">
      <c r="A512" s="5">
        <v>507</v>
      </c>
      <c r="B512" s="6" t="s">
        <v>16</v>
      </c>
      <c r="C512" s="5" t="str">
        <f>HYPERLINK("http://data.overheid.nl/data/dataset/ijsselmeer-vechtdelta","IJsselmeer Vechtdelta")</f>
        <v>IJsselmeer Vechtdelta</v>
      </c>
      <c r="D512" s="6" t="s">
        <v>17</v>
      </c>
      <c r="E512" s="5" t="s">
        <v>18</v>
      </c>
      <c r="F512" s="6" t="s">
        <v>813</v>
      </c>
      <c r="G512" s="5" t="s">
        <v>374</v>
      </c>
      <c r="H512" s="6" t="s">
        <v>20</v>
      </c>
      <c r="I512" s="5" t="s">
        <v>21</v>
      </c>
      <c r="J512" s="4" t="s">
        <v>22</v>
      </c>
      <c r="K512" s="2" t="s">
        <v>23</v>
      </c>
      <c r="L512" s="6" t="s">
        <v>24</v>
      </c>
      <c r="M512" s="5" t="s">
        <v>25</v>
      </c>
      <c r="N512" s="3" t="s">
        <v>26</v>
      </c>
      <c r="O512" s="5">
        <v>2</v>
      </c>
      <c r="P512" s="3" t="s">
        <v>23</v>
      </c>
      <c r="Q512" s="5"/>
    </row>
    <row r="513" spans="1:17" ht="93">
      <c r="A513" s="5">
        <v>508</v>
      </c>
      <c r="B513" s="6" t="s">
        <v>16</v>
      </c>
      <c r="C513" s="5" t="str">
        <f>HYPERLINK("http://data.overheid.nl/data/dataset/gebiedsschematisatie-noordzee","Gebiedsschematisatie Noordzee")</f>
        <v>Gebiedsschematisatie Noordzee</v>
      </c>
      <c r="D513" s="6" t="s">
        <v>17</v>
      </c>
      <c r="E513" s="5" t="s">
        <v>18</v>
      </c>
      <c r="F513" s="6" t="s">
        <v>813</v>
      </c>
      <c r="G513" s="5" t="s">
        <v>375</v>
      </c>
      <c r="H513" s="6" t="s">
        <v>20</v>
      </c>
      <c r="I513" s="5" t="s">
        <v>21</v>
      </c>
      <c r="J513" s="4" t="s">
        <v>22</v>
      </c>
      <c r="K513" s="2" t="s">
        <v>23</v>
      </c>
      <c r="L513" s="6" t="s">
        <v>24</v>
      </c>
      <c r="M513" s="5" t="s">
        <v>25</v>
      </c>
      <c r="N513" s="3" t="s">
        <v>26</v>
      </c>
      <c r="O513" s="5">
        <v>3</v>
      </c>
      <c r="P513" s="3" t="s">
        <v>23</v>
      </c>
      <c r="Q513" s="5"/>
    </row>
    <row r="514" spans="1:17" ht="62">
      <c r="A514" s="5">
        <v>509</v>
      </c>
      <c r="B514" s="6" t="s">
        <v>16</v>
      </c>
      <c r="C514" s="5" t="str">
        <f>HYPERLINK("http://data.overheid.nl/data/dataset/overzicht-vlieglijnen-vliestroom-2010","Overzicht vlieglijnen Vliestroom 2010")</f>
        <v>Overzicht vlieglijnen Vliestroom 2010</v>
      </c>
      <c r="D514" s="6" t="s">
        <v>17</v>
      </c>
      <c r="E514" s="5" t="s">
        <v>18</v>
      </c>
      <c r="F514" s="6" t="s">
        <v>813</v>
      </c>
      <c r="G514" s="5" t="s">
        <v>376</v>
      </c>
      <c r="H514" s="6" t="s">
        <v>20</v>
      </c>
      <c r="I514" s="5" t="s">
        <v>21</v>
      </c>
      <c r="J514" s="4" t="s">
        <v>22</v>
      </c>
      <c r="K514" s="2" t="s">
        <v>23</v>
      </c>
      <c r="L514" s="6" t="s">
        <v>24</v>
      </c>
      <c r="M514" s="5" t="s">
        <v>25</v>
      </c>
      <c r="N514" s="3" t="s">
        <v>26</v>
      </c>
      <c r="O514" s="5">
        <v>2</v>
      </c>
      <c r="P514" s="3" t="s">
        <v>23</v>
      </c>
      <c r="Q514" s="5"/>
    </row>
    <row r="515" spans="1:17" ht="46.5">
      <c r="A515" s="5">
        <v>510</v>
      </c>
      <c r="B515" s="6" t="s">
        <v>16</v>
      </c>
      <c r="C515" s="5" t="str">
        <f>HYPERLINK("http://data.overheid.nl/data/dataset/databestand-grootschalig-verkeersonderzoek-utrecht-2008","Databestand Grootschalig Verkeersonderzoek Utrecht 2008")</f>
        <v>Databestand Grootschalig Verkeersonderzoek Utrecht 2008</v>
      </c>
      <c r="D515" s="6" t="s">
        <v>17</v>
      </c>
      <c r="E515" s="5" t="s">
        <v>18</v>
      </c>
      <c r="F515" s="6" t="s">
        <v>813</v>
      </c>
      <c r="G515" s="5" t="s">
        <v>377</v>
      </c>
      <c r="H515" s="6" t="s">
        <v>20</v>
      </c>
      <c r="I515" s="5" t="s">
        <v>21</v>
      </c>
      <c r="J515" s="4" t="s">
        <v>22</v>
      </c>
      <c r="K515" s="2" t="s">
        <v>23</v>
      </c>
      <c r="L515" s="6" t="s">
        <v>24</v>
      </c>
      <c r="M515" s="5" t="s">
        <v>25</v>
      </c>
      <c r="N515" s="3" t="s">
        <v>26</v>
      </c>
      <c r="O515" s="5">
        <v>1</v>
      </c>
      <c r="P515" s="3" t="s">
        <v>23</v>
      </c>
      <c r="Q515" s="5"/>
    </row>
    <row r="516" spans="1:17" ht="31">
      <c r="A516" s="5">
        <v>511</v>
      </c>
      <c r="B516" s="6" t="s">
        <v>378</v>
      </c>
      <c r="C516" s="5" t="str">
        <f>HYPERLINK("http://data.overheid.nl/data/dataset/normaal-amsterdams-peil--nap-","Normaal Amsterdams Peil (NAP)")</f>
        <v>Normaal Amsterdams Peil (NAP)</v>
      </c>
      <c r="D516" s="6" t="s">
        <v>17</v>
      </c>
      <c r="E516" s="5" t="s">
        <v>379</v>
      </c>
      <c r="F516" s="6" t="s">
        <v>813</v>
      </c>
      <c r="G516" s="5" t="s">
        <v>380</v>
      </c>
      <c r="H516" s="6" t="s">
        <v>20</v>
      </c>
      <c r="I516" s="5" t="s">
        <v>21</v>
      </c>
      <c r="J516" s="4" t="s">
        <v>22</v>
      </c>
      <c r="K516" s="2" t="s">
        <v>23</v>
      </c>
      <c r="L516" s="6" t="s">
        <v>381</v>
      </c>
      <c r="M516" s="5" t="s">
        <v>25</v>
      </c>
      <c r="N516" s="3" t="s">
        <v>26</v>
      </c>
      <c r="O516" s="5">
        <v>1</v>
      </c>
      <c r="P516" s="3" t="s">
        <v>23</v>
      </c>
      <c r="Q516" s="5"/>
    </row>
    <row r="517" spans="1:17" ht="31">
      <c r="A517" s="5">
        <v>512</v>
      </c>
      <c r="B517" s="6" t="s">
        <v>378</v>
      </c>
      <c r="C517" s="5" t="str">
        <f>HYPERLINK("http://data.overheid.nl/data/dataset/nationaal-wegwijzerbestand","Nationaal Wegwijzerbestand")</f>
        <v>Nationaal Wegwijzerbestand</v>
      </c>
      <c r="D517" s="6" t="s">
        <v>17</v>
      </c>
      <c r="E517" s="5" t="s">
        <v>379</v>
      </c>
      <c r="F517" s="6" t="s">
        <v>813</v>
      </c>
      <c r="G517" s="5" t="s">
        <v>382</v>
      </c>
      <c r="H517" s="6" t="s">
        <v>20</v>
      </c>
      <c r="I517" s="5" t="s">
        <v>21</v>
      </c>
      <c r="J517" s="4" t="s">
        <v>22</v>
      </c>
      <c r="K517" s="2" t="s">
        <v>23</v>
      </c>
      <c r="L517" s="6" t="s">
        <v>381</v>
      </c>
      <c r="M517" s="5" t="s">
        <v>25</v>
      </c>
      <c r="N517" s="3" t="s">
        <v>26</v>
      </c>
      <c r="O517" s="5">
        <v>1</v>
      </c>
      <c r="P517" s="3" t="s">
        <v>23</v>
      </c>
      <c r="Q517" s="5"/>
    </row>
    <row r="518" spans="1:17" ht="31">
      <c r="A518" s="5">
        <v>513</v>
      </c>
      <c r="B518" s="6" t="s">
        <v>378</v>
      </c>
      <c r="C518" s="5" t="str">
        <f>HYPERLINK("http://data.overheid.nl/data/dataset/bodemligging--lodingen-en-afgeleide-producten-","Bodemligging (lodingen en afgeleide producten)")</f>
        <v>Bodemligging (lodingen en afgeleide producten)</v>
      </c>
      <c r="D518" s="6" t="s">
        <v>17</v>
      </c>
      <c r="E518" s="5" t="s">
        <v>379</v>
      </c>
      <c r="F518" s="6" t="s">
        <v>813</v>
      </c>
      <c r="G518" s="5" t="s">
        <v>383</v>
      </c>
      <c r="H518" s="6" t="s">
        <v>20</v>
      </c>
      <c r="I518" s="5" t="s">
        <v>21</v>
      </c>
      <c r="J518" s="4" t="s">
        <v>22</v>
      </c>
      <c r="K518" s="2" t="s">
        <v>23</v>
      </c>
      <c r="L518" s="6" t="s">
        <v>381</v>
      </c>
      <c r="M518" s="5" t="s">
        <v>25</v>
      </c>
      <c r="N518" s="3" t="s">
        <v>26</v>
      </c>
      <c r="O518" s="5">
        <v>1</v>
      </c>
      <c r="P518" s="3" t="s">
        <v>23</v>
      </c>
      <c r="Q518" s="5"/>
    </row>
    <row r="519" spans="1:17" ht="46.5">
      <c r="A519" s="5">
        <v>514</v>
      </c>
      <c r="B519" s="6" t="s">
        <v>16</v>
      </c>
      <c r="C519" s="5" t="str">
        <f>HYPERLINK("http://data.overheid.nl/data/dataset/orthofotomozaiek-van-oosterschelde-2013-falsecolor-tbv-vegwad","Orthofotomozaiek van Oosterschelde_2013 (falsecolor) tbv VEGWAD")</f>
        <v>Orthofotomozaiek van Oosterschelde_2013 (falsecolor) tbv VEGWAD</v>
      </c>
      <c r="D519" s="6" t="s">
        <v>17</v>
      </c>
      <c r="E519" s="5" t="s">
        <v>18</v>
      </c>
      <c r="F519" s="6" t="s">
        <v>813</v>
      </c>
      <c r="G519" s="5" t="s">
        <v>384</v>
      </c>
      <c r="H519" s="6" t="s">
        <v>20</v>
      </c>
      <c r="I519" s="5" t="s">
        <v>21</v>
      </c>
      <c r="J519" s="4" t="s">
        <v>22</v>
      </c>
      <c r="K519" s="2" t="s">
        <v>23</v>
      </c>
      <c r="L519" s="6" t="s">
        <v>24</v>
      </c>
      <c r="M519" s="5" t="s">
        <v>25</v>
      </c>
      <c r="N519" s="3" t="s">
        <v>26</v>
      </c>
      <c r="O519" s="5">
        <v>2</v>
      </c>
      <c r="P519" s="3" t="s">
        <v>23</v>
      </c>
      <c r="Q519" s="5"/>
    </row>
    <row r="520" spans="1:17" ht="31">
      <c r="A520" s="5">
        <v>515</v>
      </c>
      <c r="B520" s="6" t="s">
        <v>16</v>
      </c>
      <c r="C520" s="5" t="str">
        <f>HYPERLINK("http://data.overheid.nl/data/dataset/hoogtebestand-westerschelde-2010","Hoogtebestand Westerschelde 2010")</f>
        <v>Hoogtebestand Westerschelde 2010</v>
      </c>
      <c r="D520" s="6" t="s">
        <v>17</v>
      </c>
      <c r="E520" s="5" t="s">
        <v>18</v>
      </c>
      <c r="F520" s="6" t="s">
        <v>813</v>
      </c>
      <c r="G520" s="5" t="s">
        <v>385</v>
      </c>
      <c r="H520" s="6" t="s">
        <v>20</v>
      </c>
      <c r="I520" s="5" t="s">
        <v>21</v>
      </c>
      <c r="J520" s="4" t="s">
        <v>22</v>
      </c>
      <c r="K520" s="2" t="s">
        <v>23</v>
      </c>
      <c r="L520" s="6" t="s">
        <v>24</v>
      </c>
      <c r="M520" s="5" t="s">
        <v>25</v>
      </c>
      <c r="N520" s="3" t="s">
        <v>26</v>
      </c>
      <c r="O520" s="5">
        <v>2</v>
      </c>
      <c r="P520" s="3" t="s">
        <v>23</v>
      </c>
      <c r="Q520" s="5"/>
    </row>
    <row r="521" spans="1:17" ht="248">
      <c r="A521" s="5">
        <v>516</v>
      </c>
      <c r="B521" s="6" t="s">
        <v>16</v>
      </c>
      <c r="C521" s="5" t="str">
        <f>HYPERLINK("http://data.overheid.nl/data/dataset/habitatkartering-natura2000-voordelta-t1","Habitatkartering Natura2000 Voordelta t1")</f>
        <v>Habitatkartering Natura2000 Voordelta t1</v>
      </c>
      <c r="D521" s="6" t="s">
        <v>17</v>
      </c>
      <c r="E521" s="5" t="s">
        <v>18</v>
      </c>
      <c r="F521" s="6" t="s">
        <v>813</v>
      </c>
      <c r="G521" s="5" t="s">
        <v>386</v>
      </c>
      <c r="H521" s="6" t="s">
        <v>20</v>
      </c>
      <c r="I521" s="5" t="s">
        <v>21</v>
      </c>
      <c r="J521" s="4" t="s">
        <v>22</v>
      </c>
      <c r="K521" s="2" t="s">
        <v>23</v>
      </c>
      <c r="L521" s="6" t="s">
        <v>24</v>
      </c>
      <c r="M521" s="5" t="s">
        <v>25</v>
      </c>
      <c r="N521" s="3" t="s">
        <v>26</v>
      </c>
      <c r="O521" s="5">
        <v>76</v>
      </c>
      <c r="P521" s="3" t="s">
        <v>23</v>
      </c>
      <c r="Q521" s="5"/>
    </row>
    <row r="522" spans="1:17" ht="201.5">
      <c r="A522" s="5">
        <v>517</v>
      </c>
      <c r="B522" s="6" t="s">
        <v>16</v>
      </c>
      <c r="C522" s="5" t="str">
        <f>HYPERLINK("http://data.overheid.nl/data/dataset/habitatkartering-natura2000-voordelta-t0","Habitatkartering Natura2000 Voordelta t0")</f>
        <v>Habitatkartering Natura2000 Voordelta t0</v>
      </c>
      <c r="D522" s="6" t="s">
        <v>17</v>
      </c>
      <c r="E522" s="5" t="s">
        <v>18</v>
      </c>
      <c r="F522" s="6" t="s">
        <v>813</v>
      </c>
      <c r="G522" s="5" t="s">
        <v>387</v>
      </c>
      <c r="H522" s="6" t="s">
        <v>28</v>
      </c>
      <c r="I522" s="5" t="s">
        <v>21</v>
      </c>
      <c r="J522" s="4" t="s">
        <v>22</v>
      </c>
      <c r="K522" s="2" t="s">
        <v>23</v>
      </c>
      <c r="L522" s="6" t="s">
        <v>24</v>
      </c>
      <c r="M522" s="5" t="s">
        <v>25</v>
      </c>
      <c r="N522" s="3" t="s">
        <v>26</v>
      </c>
      <c r="O522" s="5">
        <v>50</v>
      </c>
      <c r="P522" s="3" t="s">
        <v>23</v>
      </c>
      <c r="Q522" s="5"/>
    </row>
    <row r="523" spans="1:17" ht="31">
      <c r="A523" s="5">
        <v>518</v>
      </c>
      <c r="B523" s="6" t="s">
        <v>16</v>
      </c>
      <c r="C523" s="5" t="str">
        <f>HYPERLINK("http://data.overheid.nl/data/dataset/vaarweginformatie-zoeken-in-scheepvaartberichten","Vaarweginformatie - Zoeken in Scheepvaartberichten")</f>
        <v>Vaarweginformatie - Zoeken in Scheepvaartberichten</v>
      </c>
      <c r="D523" s="6" t="s">
        <v>17</v>
      </c>
      <c r="E523" s="5" t="s">
        <v>18</v>
      </c>
      <c r="F523" s="6" t="s">
        <v>813</v>
      </c>
      <c r="G523" s="5" t="s">
        <v>388</v>
      </c>
      <c r="H523" s="6" t="s">
        <v>20</v>
      </c>
      <c r="I523" s="5" t="s">
        <v>21</v>
      </c>
      <c r="J523" s="4" t="s">
        <v>22</v>
      </c>
      <c r="K523" s="2" t="s">
        <v>23</v>
      </c>
      <c r="L523" s="6" t="s">
        <v>24</v>
      </c>
      <c r="M523" s="5" t="s">
        <v>25</v>
      </c>
      <c r="N523" s="3" t="s">
        <v>26</v>
      </c>
      <c r="O523" s="5">
        <v>2</v>
      </c>
      <c r="P523" s="3" t="s">
        <v>23</v>
      </c>
      <c r="Q523" s="5"/>
    </row>
    <row r="524" spans="1:17" ht="31">
      <c r="A524" s="5">
        <v>519</v>
      </c>
      <c r="B524" s="6" t="s">
        <v>16</v>
      </c>
      <c r="C524" s="5" t="str">
        <f>HYPERLINK("http://data.overheid.nl/data/dataset/vaarweginformatie-verwachte-minst-gepeilde-diepten","Vaarweginformatie - Verwachte minst gepeilde diepten")</f>
        <v>Vaarweginformatie - Verwachte minst gepeilde diepten</v>
      </c>
      <c r="D524" s="6" t="s">
        <v>17</v>
      </c>
      <c r="E524" s="5" t="s">
        <v>18</v>
      </c>
      <c r="F524" s="6" t="s">
        <v>813</v>
      </c>
      <c r="G524" s="5" t="s">
        <v>389</v>
      </c>
      <c r="H524" s="6" t="s">
        <v>20</v>
      </c>
      <c r="I524" s="5" t="s">
        <v>21</v>
      </c>
      <c r="J524" s="4" t="s">
        <v>22</v>
      </c>
      <c r="K524" s="2" t="s">
        <v>23</v>
      </c>
      <c r="L524" s="6" t="s">
        <v>24</v>
      </c>
      <c r="M524" s="5" t="s">
        <v>25</v>
      </c>
      <c r="N524" s="3" t="s">
        <v>26</v>
      </c>
      <c r="O524" s="5">
        <v>2</v>
      </c>
      <c r="P524" s="3" t="s">
        <v>23</v>
      </c>
      <c r="Q524" s="5"/>
    </row>
    <row r="525" spans="1:17" ht="31">
      <c r="A525" s="5">
        <v>520</v>
      </c>
      <c r="B525" s="6" t="s">
        <v>16</v>
      </c>
      <c r="C525" s="5" t="str">
        <f>HYPERLINK("http://data.overheid.nl/data/dataset/vaarweginformatie-nieuwe-scheepvaartberichten-per-gebied","Vaarweginformatie - Nieuwe Scheepvaartberichten per gebied")</f>
        <v>Vaarweginformatie - Nieuwe Scheepvaartberichten per gebied</v>
      </c>
      <c r="D525" s="6" t="s">
        <v>17</v>
      </c>
      <c r="E525" s="5" t="s">
        <v>18</v>
      </c>
      <c r="F525" s="6" t="s">
        <v>813</v>
      </c>
      <c r="G525" s="5" t="s">
        <v>390</v>
      </c>
      <c r="H525" s="6" t="s">
        <v>20</v>
      </c>
      <c r="I525" s="5" t="s">
        <v>21</v>
      </c>
      <c r="J525" s="4" t="s">
        <v>22</v>
      </c>
      <c r="K525" s="2" t="s">
        <v>23</v>
      </c>
      <c r="L525" s="6" t="s">
        <v>24</v>
      </c>
      <c r="M525" s="5" t="s">
        <v>25</v>
      </c>
      <c r="N525" s="3" t="s">
        <v>26</v>
      </c>
      <c r="O525" s="5">
        <v>2</v>
      </c>
      <c r="P525" s="3" t="s">
        <v>23</v>
      </c>
      <c r="Q525" s="5"/>
    </row>
    <row r="526" spans="1:17" ht="31">
      <c r="A526" s="5">
        <v>521</v>
      </c>
      <c r="B526" s="6" t="s">
        <v>16</v>
      </c>
      <c r="C526" s="5" t="str">
        <f>HYPERLINK("http://data.overheid.nl/data/dataset/vaarweginformatie-nieuwe-scheepvaartberichten","Vaarweginformatie - Nieuwe Scheepvaartberichten")</f>
        <v>Vaarweginformatie - Nieuwe Scheepvaartberichten</v>
      </c>
      <c r="D526" s="6" t="s">
        <v>17</v>
      </c>
      <c r="E526" s="5" t="s">
        <v>18</v>
      </c>
      <c r="F526" s="6" t="s">
        <v>813</v>
      </c>
      <c r="G526" s="5" t="s">
        <v>391</v>
      </c>
      <c r="H526" s="6" t="s">
        <v>20</v>
      </c>
      <c r="I526" s="5" t="s">
        <v>21</v>
      </c>
      <c r="J526" s="4" t="s">
        <v>22</v>
      </c>
      <c r="K526" s="2" t="s">
        <v>23</v>
      </c>
      <c r="L526" s="6" t="s">
        <v>24</v>
      </c>
      <c r="M526" s="5" t="s">
        <v>25</v>
      </c>
      <c r="N526" s="3" t="s">
        <v>26</v>
      </c>
      <c r="O526" s="5">
        <v>2</v>
      </c>
      <c r="P526" s="3" t="s">
        <v>23</v>
      </c>
      <c r="Q526" s="5"/>
    </row>
    <row r="527" spans="1:17" ht="31">
      <c r="A527" s="5">
        <v>522</v>
      </c>
      <c r="B527" s="6" t="s">
        <v>16</v>
      </c>
      <c r="C527" s="5" t="str">
        <f>HYPERLINK("http://data.overheid.nl/data/dataset/vaarweginformatie-downloads","Vaarweginformatie - Downloads")</f>
        <v>Vaarweginformatie - Downloads</v>
      </c>
      <c r="D527" s="6" t="s">
        <v>17</v>
      </c>
      <c r="E527" s="5" t="s">
        <v>18</v>
      </c>
      <c r="F527" s="6" t="s">
        <v>813</v>
      </c>
      <c r="G527" s="5" t="s">
        <v>392</v>
      </c>
      <c r="H527" s="6" t="s">
        <v>20</v>
      </c>
      <c r="I527" s="5" t="s">
        <v>21</v>
      </c>
      <c r="J527" s="4" t="s">
        <v>22</v>
      </c>
      <c r="K527" s="2" t="s">
        <v>23</v>
      </c>
      <c r="L527" s="6" t="s">
        <v>24</v>
      </c>
      <c r="M527" s="5" t="s">
        <v>25</v>
      </c>
      <c r="N527" s="3" t="s">
        <v>26</v>
      </c>
      <c r="O527" s="5">
        <v>2</v>
      </c>
      <c r="P527" s="3" t="s">
        <v>23</v>
      </c>
      <c r="Q527" s="5"/>
    </row>
    <row r="528" spans="1:17" ht="46.5">
      <c r="A528" s="5">
        <v>523</v>
      </c>
      <c r="B528" s="6" t="s">
        <v>16</v>
      </c>
      <c r="C528" s="5" t="str">
        <f>HYPERLINK("http://data.overheid.nl/data/dataset/kwaliteit-kunstwerken-2010","Kwaliteit kunstwerken 2010")</f>
        <v>Kwaliteit kunstwerken 2010</v>
      </c>
      <c r="D528" s="6" t="s">
        <v>17</v>
      </c>
      <c r="E528" s="5" t="s">
        <v>18</v>
      </c>
      <c r="F528" s="6" t="s">
        <v>813</v>
      </c>
      <c r="G528" s="5" t="s">
        <v>200</v>
      </c>
      <c r="H528" s="6" t="s">
        <v>28</v>
      </c>
      <c r="I528" s="5" t="s">
        <v>21</v>
      </c>
      <c r="J528" s="4" t="s">
        <v>22</v>
      </c>
      <c r="K528" s="2" t="s">
        <v>23</v>
      </c>
      <c r="L528" s="6" t="s">
        <v>24</v>
      </c>
      <c r="M528" s="5" t="s">
        <v>25</v>
      </c>
      <c r="N528" s="3" t="s">
        <v>26</v>
      </c>
      <c r="O528" s="5">
        <v>6</v>
      </c>
      <c r="P528" s="3" t="s">
        <v>23</v>
      </c>
      <c r="Q528" s="5"/>
    </row>
    <row r="529" spans="1:17" ht="31">
      <c r="A529" s="5">
        <v>524</v>
      </c>
      <c r="B529" s="6" t="s">
        <v>16</v>
      </c>
      <c r="C529" s="5" t="str">
        <f>HYPERLINK("http://data.overheid.nl/data/dataset/friesche-groningerkwelders-2008-orthofotomozaieken-falsecolor-ecw","Friesche_Groningerkwelders_2008_Orthofotomozaieken_Falsecolor_ECW")</f>
        <v>Friesche_Groningerkwelders_2008_Orthofotomozaieken_Falsecolor_ECW</v>
      </c>
      <c r="D529" s="6" t="s">
        <v>17</v>
      </c>
      <c r="E529" s="5" t="s">
        <v>18</v>
      </c>
      <c r="F529" s="6" t="s">
        <v>813</v>
      </c>
      <c r="G529" s="5" t="s">
        <v>393</v>
      </c>
      <c r="H529" s="6" t="s">
        <v>20</v>
      </c>
      <c r="I529" s="5" t="s">
        <v>21</v>
      </c>
      <c r="J529" s="4" t="s">
        <v>22</v>
      </c>
      <c r="K529" s="2" t="s">
        <v>23</v>
      </c>
      <c r="L529" s="6" t="s">
        <v>24</v>
      </c>
      <c r="M529" s="5" t="s">
        <v>25</v>
      </c>
      <c r="N529" s="3" t="s">
        <v>26</v>
      </c>
      <c r="O529" s="5">
        <v>2</v>
      </c>
      <c r="P529" s="3" t="s">
        <v>23</v>
      </c>
      <c r="Q529" s="5"/>
    </row>
    <row r="530" spans="1:17" ht="46.5">
      <c r="A530" s="5">
        <v>525</v>
      </c>
      <c r="B530" s="6" t="s">
        <v>16</v>
      </c>
      <c r="C530" s="5" t="str">
        <f>HYPERLINK("http://data.overheid.nl/data/dataset/milieu-monitoringspunten","Milieu monitoringspunten")</f>
        <v>Milieu monitoringspunten</v>
      </c>
      <c r="D530" s="6" t="s">
        <v>17</v>
      </c>
      <c r="E530" s="5" t="s">
        <v>18</v>
      </c>
      <c r="F530" s="6" t="s">
        <v>813</v>
      </c>
      <c r="G530" s="5" t="s">
        <v>394</v>
      </c>
      <c r="H530" s="6" t="s">
        <v>20</v>
      </c>
      <c r="I530" s="5" t="s">
        <v>21</v>
      </c>
      <c r="J530" s="4" t="s">
        <v>22</v>
      </c>
      <c r="K530" s="2" t="s">
        <v>23</v>
      </c>
      <c r="L530" s="6" t="s">
        <v>24</v>
      </c>
      <c r="M530" s="5" t="s">
        <v>25</v>
      </c>
      <c r="N530" s="3" t="s">
        <v>26</v>
      </c>
      <c r="O530" s="5">
        <v>8</v>
      </c>
      <c r="P530" s="3" t="s">
        <v>23</v>
      </c>
      <c r="Q530" s="5"/>
    </row>
    <row r="531" spans="1:17" ht="31">
      <c r="A531" s="5">
        <v>526</v>
      </c>
      <c r="B531" s="6" t="s">
        <v>16</v>
      </c>
      <c r="C531" s="5" t="str">
        <f>HYPERLINK("http://data.overheid.nl/data/dataset/westerschelde-2012-orthofotomozaiek-falsecolor-ecw","Westerschelde_2012_orthofotomozaiek_falsecolor_ecw")</f>
        <v>Westerschelde_2012_orthofotomozaiek_falsecolor_ecw</v>
      </c>
      <c r="D531" s="6" t="s">
        <v>17</v>
      </c>
      <c r="E531" s="5" t="s">
        <v>18</v>
      </c>
      <c r="F531" s="6" t="s">
        <v>813</v>
      </c>
      <c r="G531" s="5" t="s">
        <v>395</v>
      </c>
      <c r="H531" s="6" t="s">
        <v>20</v>
      </c>
      <c r="I531" s="5" t="s">
        <v>21</v>
      </c>
      <c r="J531" s="4" t="s">
        <v>22</v>
      </c>
      <c r="K531" s="2" t="s">
        <v>23</v>
      </c>
      <c r="L531" s="6" t="s">
        <v>24</v>
      </c>
      <c r="M531" s="5" t="s">
        <v>25</v>
      </c>
      <c r="N531" s="3" t="s">
        <v>26</v>
      </c>
      <c r="O531" s="5">
        <v>2</v>
      </c>
      <c r="P531" s="3" t="s">
        <v>23</v>
      </c>
      <c r="Q531" s="5"/>
    </row>
    <row r="532" spans="1:17" ht="77.5">
      <c r="A532" s="5">
        <v>527</v>
      </c>
      <c r="B532" s="6" t="s">
        <v>16</v>
      </c>
      <c r="C532" s="5" t="str">
        <f>HYPERLINK("http://data.overheid.nl/data/dataset/waddenzee-2014","Waddenzee 2014")</f>
        <v>Waddenzee 2014</v>
      </c>
      <c r="D532" s="6" t="s">
        <v>17</v>
      </c>
      <c r="E532" s="5" t="s">
        <v>18</v>
      </c>
      <c r="F532" s="6" t="s">
        <v>813</v>
      </c>
      <c r="G532" s="5" t="s">
        <v>396</v>
      </c>
      <c r="H532" s="6" t="s">
        <v>20</v>
      </c>
      <c r="I532" s="5" t="s">
        <v>21</v>
      </c>
      <c r="J532" s="4" t="s">
        <v>22</v>
      </c>
      <c r="K532" s="2" t="s">
        <v>23</v>
      </c>
      <c r="L532" s="6" t="s">
        <v>24</v>
      </c>
      <c r="M532" s="5" t="s">
        <v>25</v>
      </c>
      <c r="N532" s="3" t="s">
        <v>26</v>
      </c>
      <c r="O532" s="5">
        <v>2</v>
      </c>
      <c r="P532" s="3" t="s">
        <v>23</v>
      </c>
      <c r="Q532" s="5"/>
    </row>
    <row r="533" spans="1:17" ht="46.5">
      <c r="A533" s="5">
        <v>528</v>
      </c>
      <c r="B533" s="6" t="s">
        <v>16</v>
      </c>
      <c r="C533" s="5" t="str">
        <f>HYPERLINK("http://data.overheid.nl/data/dataset/overzicht-vlieglijnen-waddenzee-2014","Overzicht vlieglijnen Waddenzee 2014")</f>
        <v>Overzicht vlieglijnen Waddenzee 2014</v>
      </c>
      <c r="D533" s="6" t="s">
        <v>17</v>
      </c>
      <c r="E533" s="5" t="s">
        <v>18</v>
      </c>
      <c r="F533" s="6" t="s">
        <v>813</v>
      </c>
      <c r="G533" s="5" t="s">
        <v>397</v>
      </c>
      <c r="H533" s="6" t="s">
        <v>20</v>
      </c>
      <c r="I533" s="5" t="s">
        <v>21</v>
      </c>
      <c r="J533" s="4" t="s">
        <v>22</v>
      </c>
      <c r="K533" s="2" t="s">
        <v>23</v>
      </c>
      <c r="L533" s="6" t="s">
        <v>24</v>
      </c>
      <c r="M533" s="5" t="s">
        <v>25</v>
      </c>
      <c r="N533" s="3" t="s">
        <v>26</v>
      </c>
      <c r="O533" s="5">
        <v>2</v>
      </c>
      <c r="P533" s="3" t="s">
        <v>23</v>
      </c>
      <c r="Q533" s="5"/>
    </row>
    <row r="534" spans="1:17" ht="31">
      <c r="A534" s="5">
        <v>529</v>
      </c>
      <c r="B534" s="6" t="s">
        <v>16</v>
      </c>
      <c r="C534" s="5" t="str">
        <f>HYPERLINK("http://data.overheid.nl/data/dataset/overzicht-vlieglijnen-kribben-waal-2014","Overzicht vlieglijnen kribben Waal 2014")</f>
        <v>Overzicht vlieglijnen kribben Waal 2014</v>
      </c>
      <c r="D534" s="6" t="s">
        <v>17</v>
      </c>
      <c r="E534" s="5" t="s">
        <v>18</v>
      </c>
      <c r="F534" s="6" t="s">
        <v>813</v>
      </c>
      <c r="G534" s="5" t="s">
        <v>398</v>
      </c>
      <c r="H534" s="6" t="s">
        <v>20</v>
      </c>
      <c r="I534" s="5" t="s">
        <v>21</v>
      </c>
      <c r="J534" s="4" t="s">
        <v>22</v>
      </c>
      <c r="K534" s="2" t="s">
        <v>23</v>
      </c>
      <c r="L534" s="6" t="s">
        <v>24</v>
      </c>
      <c r="M534" s="5" t="s">
        <v>25</v>
      </c>
      <c r="N534" s="3" t="s">
        <v>26</v>
      </c>
      <c r="O534" s="5">
        <v>2</v>
      </c>
      <c r="P534" s="3" t="s">
        <v>23</v>
      </c>
      <c r="Q534" s="5"/>
    </row>
    <row r="535" spans="1:17" ht="62">
      <c r="A535" s="5">
        <v>530</v>
      </c>
      <c r="B535" s="6" t="s">
        <v>16</v>
      </c>
      <c r="C535" s="5" t="str">
        <f>HYPERLINK("http://data.overheid.nl/data/dataset/hoogtegegevens-kribben-waal-2014","Hoogtegegevens kribben Waal 2014")</f>
        <v>Hoogtegegevens kribben Waal 2014</v>
      </c>
      <c r="D535" s="6" t="s">
        <v>17</v>
      </c>
      <c r="E535" s="5" t="s">
        <v>18</v>
      </c>
      <c r="F535" s="6" t="s">
        <v>813</v>
      </c>
      <c r="G535" s="5" t="s">
        <v>399</v>
      </c>
      <c r="H535" s="6" t="s">
        <v>20</v>
      </c>
      <c r="I535" s="5" t="s">
        <v>21</v>
      </c>
      <c r="J535" s="4" t="s">
        <v>22</v>
      </c>
      <c r="K535" s="2" t="s">
        <v>23</v>
      </c>
      <c r="L535" s="6" t="s">
        <v>24</v>
      </c>
      <c r="M535" s="5" t="s">
        <v>25</v>
      </c>
      <c r="N535" s="3" t="s">
        <v>26</v>
      </c>
      <c r="O535" s="5">
        <v>2</v>
      </c>
      <c r="P535" s="3" t="s">
        <v>23</v>
      </c>
      <c r="Q535" s="5"/>
    </row>
    <row r="536" spans="1:17" ht="170.5">
      <c r="A536" s="5">
        <v>531</v>
      </c>
      <c r="B536" s="6" t="s">
        <v>16</v>
      </c>
      <c r="C536" s="5" t="str">
        <f>HYPERLINK("http://data.overheid.nl/data/dataset/habitatkartering-natura2000-zwarte-meer","Habitatkartering Natura2000 Zwarte Meer")</f>
        <v>Habitatkartering Natura2000 Zwarte Meer</v>
      </c>
      <c r="D536" s="6" t="s">
        <v>17</v>
      </c>
      <c r="E536" s="5" t="s">
        <v>18</v>
      </c>
      <c r="F536" s="6" t="s">
        <v>813</v>
      </c>
      <c r="G536" s="5" t="s">
        <v>400</v>
      </c>
      <c r="H536" s="6" t="s">
        <v>20</v>
      </c>
      <c r="I536" s="5" t="s">
        <v>21</v>
      </c>
      <c r="J536" s="4" t="s">
        <v>22</v>
      </c>
      <c r="K536" s="2" t="s">
        <v>23</v>
      </c>
      <c r="L536" s="6" t="s">
        <v>24</v>
      </c>
      <c r="M536" s="5" t="s">
        <v>25</v>
      </c>
      <c r="N536" s="3" t="s">
        <v>26</v>
      </c>
      <c r="O536" s="5">
        <v>14</v>
      </c>
      <c r="P536" s="3" t="s">
        <v>23</v>
      </c>
      <c r="Q536" s="5"/>
    </row>
    <row r="537" spans="1:17" ht="155">
      <c r="A537" s="5">
        <v>532</v>
      </c>
      <c r="B537" s="6" t="s">
        <v>16</v>
      </c>
      <c r="C537" s="5" t="str">
        <f>HYPERLINK("http://data.overheid.nl/data/dataset/habitatkartering-natura2000-veluwerandmeren","Habitatkartering Natura2000 Veluwerandmeren")</f>
        <v>Habitatkartering Natura2000 Veluwerandmeren</v>
      </c>
      <c r="D537" s="6" t="s">
        <v>17</v>
      </c>
      <c r="E537" s="5" t="s">
        <v>18</v>
      </c>
      <c r="F537" s="6" t="s">
        <v>813</v>
      </c>
      <c r="G537" s="5" t="s">
        <v>401</v>
      </c>
      <c r="H537" s="6" t="s">
        <v>28</v>
      </c>
      <c r="I537" s="5" t="s">
        <v>21</v>
      </c>
      <c r="J537" s="4" t="s">
        <v>22</v>
      </c>
      <c r="K537" s="2" t="s">
        <v>23</v>
      </c>
      <c r="L537" s="6" t="s">
        <v>24</v>
      </c>
      <c r="M537" s="5" t="s">
        <v>25</v>
      </c>
      <c r="N537" s="3" t="s">
        <v>26</v>
      </c>
      <c r="O537" s="5">
        <v>10</v>
      </c>
      <c r="P537" s="3" t="s">
        <v>23</v>
      </c>
      <c r="Q537" s="5"/>
    </row>
    <row r="538" spans="1:17" ht="155">
      <c r="A538" s="5">
        <v>533</v>
      </c>
      <c r="B538" s="6" t="s">
        <v>16</v>
      </c>
      <c r="C538" s="5" t="str">
        <f>HYPERLINK("http://data.overheid.nl/data/dataset/habitatkartering-natura2000-markermeer-en-ijmeer","Habitatkartering Natura2000 Markermeer en IJmeer")</f>
        <v>Habitatkartering Natura2000 Markermeer en IJmeer</v>
      </c>
      <c r="D538" s="6" t="s">
        <v>17</v>
      </c>
      <c r="E538" s="5" t="s">
        <v>18</v>
      </c>
      <c r="F538" s="6" t="s">
        <v>813</v>
      </c>
      <c r="G538" s="5" t="s">
        <v>402</v>
      </c>
      <c r="H538" s="6" t="s">
        <v>20</v>
      </c>
      <c r="I538" s="5" t="s">
        <v>21</v>
      </c>
      <c r="J538" s="4" t="s">
        <v>22</v>
      </c>
      <c r="K538" s="2" t="s">
        <v>23</v>
      </c>
      <c r="L538" s="6" t="s">
        <v>24</v>
      </c>
      <c r="M538" s="5" t="s">
        <v>25</v>
      </c>
      <c r="N538" s="3" t="s">
        <v>26</v>
      </c>
      <c r="O538" s="5">
        <v>10</v>
      </c>
      <c r="P538" s="3" t="s">
        <v>23</v>
      </c>
      <c r="Q538" s="5"/>
    </row>
    <row r="539" spans="1:17" ht="170.5">
      <c r="A539" s="5">
        <v>534</v>
      </c>
      <c r="B539" s="6" t="s">
        <v>16</v>
      </c>
      <c r="C539" s="5" t="str">
        <f>HYPERLINK("http://data.overheid.nl/data/dataset/habitatkartering-natura2000-ijsselmeer","Habitatkartering Natura2000 IJsselmeer")</f>
        <v>Habitatkartering Natura2000 IJsselmeer</v>
      </c>
      <c r="D539" s="6" t="s">
        <v>17</v>
      </c>
      <c r="E539" s="5" t="s">
        <v>18</v>
      </c>
      <c r="F539" s="6" t="s">
        <v>813</v>
      </c>
      <c r="G539" s="5" t="s">
        <v>403</v>
      </c>
      <c r="H539" s="6" t="s">
        <v>28</v>
      </c>
      <c r="I539" s="5" t="s">
        <v>21</v>
      </c>
      <c r="J539" s="4" t="s">
        <v>22</v>
      </c>
      <c r="K539" s="2" t="s">
        <v>23</v>
      </c>
      <c r="L539" s="6" t="s">
        <v>24</v>
      </c>
      <c r="M539" s="5" t="s">
        <v>25</v>
      </c>
      <c r="N539" s="3" t="s">
        <v>26</v>
      </c>
      <c r="O539" s="5">
        <v>16</v>
      </c>
      <c r="P539" s="3" t="s">
        <v>23</v>
      </c>
      <c r="Q539" s="5"/>
    </row>
    <row r="540" spans="1:17" ht="170.5">
      <c r="A540" s="5">
        <v>535</v>
      </c>
      <c r="B540" s="6" t="s">
        <v>16</v>
      </c>
      <c r="C540" s="5" t="str">
        <f>HYPERLINK("http://data.overheid.nl/data/dataset/locaties-helicopterfotos-20110314","Locaties helicopterfotos 20110314")</f>
        <v>Locaties helicopterfotos 20110314</v>
      </c>
      <c r="D540" s="6" t="s">
        <v>17</v>
      </c>
      <c r="E540" s="5" t="s">
        <v>18</v>
      </c>
      <c r="F540" s="6" t="s">
        <v>813</v>
      </c>
      <c r="G540" s="5" t="s">
        <v>404</v>
      </c>
      <c r="H540" s="6" t="s">
        <v>20</v>
      </c>
      <c r="I540" s="5" t="s">
        <v>21</v>
      </c>
      <c r="J540" s="4" t="s">
        <v>22</v>
      </c>
      <c r="K540" s="2" t="s">
        <v>23</v>
      </c>
      <c r="L540" s="6" t="s">
        <v>24</v>
      </c>
      <c r="M540" s="5" t="s">
        <v>25</v>
      </c>
      <c r="N540" s="3" t="s">
        <v>26</v>
      </c>
      <c r="O540" s="5">
        <v>2</v>
      </c>
      <c r="P540" s="3" t="s">
        <v>23</v>
      </c>
      <c r="Q540" s="5"/>
    </row>
    <row r="541" spans="1:17" ht="31">
      <c r="A541" s="5">
        <v>536</v>
      </c>
      <c r="B541" s="6" t="s">
        <v>16</v>
      </c>
      <c r="C541" s="5" t="str">
        <f>HYPERLINK("http://data.overheid.nl/data/dataset/rijkswaterstaat-leefomgeving-ondersteunende-bestanden-monitoringlijst-openbare-verlichting-en-verkee","Rijkswaterstaat Leefomgeving - Ondersteunende bestanden monitoringlijst openbare verlichting en verkeersregelinstallaties")</f>
        <v>Rijkswaterstaat Leefomgeving - Ondersteunende bestanden monitoringlijst openbare verlichting en verkeersregelinstallaties</v>
      </c>
      <c r="D541" s="6" t="s">
        <v>17</v>
      </c>
      <c r="E541" s="5" t="s">
        <v>18</v>
      </c>
      <c r="F541" s="6" t="s">
        <v>813</v>
      </c>
      <c r="G541" s="5" t="s">
        <v>405</v>
      </c>
      <c r="H541" s="6" t="s">
        <v>20</v>
      </c>
      <c r="I541" s="5" t="s">
        <v>21</v>
      </c>
      <c r="J541" s="4" t="s">
        <v>22</v>
      </c>
      <c r="K541" s="2" t="s">
        <v>23</v>
      </c>
      <c r="L541" s="6" t="s">
        <v>24</v>
      </c>
      <c r="M541" s="5" t="s">
        <v>25</v>
      </c>
      <c r="N541" s="3" t="s">
        <v>26</v>
      </c>
      <c r="O541" s="5">
        <v>1</v>
      </c>
      <c r="P541" s="3" t="s">
        <v>23</v>
      </c>
      <c r="Q541" s="5"/>
    </row>
    <row r="542" spans="1:17" ht="232.5">
      <c r="A542" s="5">
        <v>537</v>
      </c>
      <c r="B542" s="6" t="s">
        <v>16</v>
      </c>
      <c r="C542" s="5" t="str">
        <f>HYPERLINK("http://data.overheid.nl/data/dataset/milieueffectmetingen-offshore-windpark-egmond-aan-zee","Milieueffectmetingen Offshore Windpark Egmond aan Zee")</f>
        <v>Milieueffectmetingen Offshore Windpark Egmond aan Zee</v>
      </c>
      <c r="D542" s="6" t="s">
        <v>17</v>
      </c>
      <c r="E542" s="5" t="s">
        <v>18</v>
      </c>
      <c r="F542" s="6" t="s">
        <v>813</v>
      </c>
      <c r="G542" s="5" t="s">
        <v>406</v>
      </c>
      <c r="H542" s="6" t="s">
        <v>20</v>
      </c>
      <c r="I542" s="5" t="s">
        <v>21</v>
      </c>
      <c r="J542" s="4" t="s">
        <v>22</v>
      </c>
      <c r="K542" s="2" t="s">
        <v>23</v>
      </c>
      <c r="L542" s="6" t="s">
        <v>24</v>
      </c>
      <c r="M542" s="5" t="s">
        <v>25</v>
      </c>
      <c r="N542" s="3" t="s">
        <v>26</v>
      </c>
      <c r="O542" s="5">
        <v>4</v>
      </c>
      <c r="P542" s="3" t="s">
        <v>23</v>
      </c>
      <c r="Q542" s="5"/>
    </row>
    <row r="543" spans="1:17" ht="201.5">
      <c r="A543" s="5">
        <v>538</v>
      </c>
      <c r="B543" s="6" t="s">
        <v>16</v>
      </c>
      <c r="C543" s="5" t="str">
        <f>HYPERLINK("http://data.overheid.nl/data/dataset/milieueffectmetingen-natuurcompensatie-tweede-maasvlakte","Milieueffectmetingen Natuurcompensatie tweede maasvlakte")</f>
        <v>Milieueffectmetingen Natuurcompensatie tweede maasvlakte</v>
      </c>
      <c r="D543" s="6" t="s">
        <v>17</v>
      </c>
      <c r="E543" s="5" t="s">
        <v>18</v>
      </c>
      <c r="F543" s="6" t="s">
        <v>813</v>
      </c>
      <c r="G543" s="5" t="s">
        <v>407</v>
      </c>
      <c r="H543" s="6" t="s">
        <v>20</v>
      </c>
      <c r="I543" s="5" t="s">
        <v>21</v>
      </c>
      <c r="J543" s="4" t="s">
        <v>22</v>
      </c>
      <c r="K543" s="2" t="s">
        <v>23</v>
      </c>
      <c r="L543" s="6" t="s">
        <v>24</v>
      </c>
      <c r="M543" s="5" t="s">
        <v>25</v>
      </c>
      <c r="N543" s="3" t="s">
        <v>26</v>
      </c>
      <c r="O543" s="5">
        <v>6</v>
      </c>
      <c r="P543" s="3" t="s">
        <v>23</v>
      </c>
      <c r="Q543" s="5"/>
    </row>
    <row r="544" spans="1:17" ht="46.5">
      <c r="A544" s="5">
        <v>539</v>
      </c>
      <c r="B544" s="6" t="s">
        <v>16</v>
      </c>
      <c r="C544" s="5" t="str">
        <f>HYPERLINK("http://data.overheid.nl/data/dataset/kunstwerken-januari-2013","Kunstwerken januari 2013")</f>
        <v>Kunstwerken januari 2013</v>
      </c>
      <c r="D544" s="6" t="s">
        <v>17</v>
      </c>
      <c r="E544" s="5" t="s">
        <v>18</v>
      </c>
      <c r="F544" s="6" t="s">
        <v>813</v>
      </c>
      <c r="G544" s="5" t="s">
        <v>200</v>
      </c>
      <c r="H544" s="6" t="s">
        <v>28</v>
      </c>
      <c r="I544" s="5" t="s">
        <v>21</v>
      </c>
      <c r="J544" s="4" t="s">
        <v>22</v>
      </c>
      <c r="K544" s="2" t="s">
        <v>23</v>
      </c>
      <c r="L544" s="6" t="s">
        <v>24</v>
      </c>
      <c r="M544" s="5" t="s">
        <v>25</v>
      </c>
      <c r="N544" s="3" t="s">
        <v>26</v>
      </c>
      <c r="O544" s="5">
        <v>8</v>
      </c>
      <c r="P544" s="3" t="s">
        <v>23</v>
      </c>
      <c r="Q544" s="5"/>
    </row>
    <row r="545" spans="1:17" ht="93">
      <c r="A545" s="5">
        <v>540</v>
      </c>
      <c r="B545" s="6" t="s">
        <v>16</v>
      </c>
      <c r="C545" s="5" t="str">
        <f>HYPERLINK("http://data.overheid.nl/data/dataset/structuur-natuur-vriendelijke-oevers-maas-2010-vlak","Structuur natuur vriendelijke oevers Maas 2010 vlak")</f>
        <v>Structuur natuur vriendelijke oevers Maas 2010 vlak</v>
      </c>
      <c r="D545" s="6" t="s">
        <v>17</v>
      </c>
      <c r="E545" s="5" t="s">
        <v>18</v>
      </c>
      <c r="F545" s="6" t="s">
        <v>813</v>
      </c>
      <c r="G545" s="5" t="s">
        <v>408</v>
      </c>
      <c r="H545" s="6" t="s">
        <v>20</v>
      </c>
      <c r="I545" s="5" t="s">
        <v>21</v>
      </c>
      <c r="J545" s="4" t="s">
        <v>22</v>
      </c>
      <c r="K545" s="2" t="s">
        <v>23</v>
      </c>
      <c r="L545" s="6" t="s">
        <v>24</v>
      </c>
      <c r="M545" s="5" t="s">
        <v>25</v>
      </c>
      <c r="N545" s="3" t="s">
        <v>26</v>
      </c>
      <c r="O545" s="5">
        <v>2</v>
      </c>
      <c r="P545" s="3" t="s">
        <v>23</v>
      </c>
      <c r="Q545" s="5"/>
    </row>
    <row r="546" spans="1:17" ht="93">
      <c r="A546" s="5">
        <v>541</v>
      </c>
      <c r="B546" s="6" t="s">
        <v>16</v>
      </c>
      <c r="C546" s="5" t="str">
        <f>HYPERLINK("http://data.overheid.nl/data/dataset/natuur-vriendelijke-oevers-maas-steilrand-2010-lijn","Natuur vriendelijke oevers Maas - steilrand 2010 lijn")</f>
        <v>Natuur vriendelijke oevers Maas - steilrand 2010 lijn</v>
      </c>
      <c r="D546" s="6" t="s">
        <v>17</v>
      </c>
      <c r="E546" s="5" t="s">
        <v>18</v>
      </c>
      <c r="F546" s="6" t="s">
        <v>813</v>
      </c>
      <c r="G546" s="5" t="s">
        <v>408</v>
      </c>
      <c r="H546" s="6" t="s">
        <v>20</v>
      </c>
      <c r="I546" s="5" t="s">
        <v>21</v>
      </c>
      <c r="J546" s="4" t="s">
        <v>22</v>
      </c>
      <c r="K546" s="2" t="s">
        <v>23</v>
      </c>
      <c r="L546" s="6" t="s">
        <v>24</v>
      </c>
      <c r="M546" s="5" t="s">
        <v>25</v>
      </c>
      <c r="N546" s="3" t="s">
        <v>26</v>
      </c>
      <c r="O546" s="5">
        <v>2</v>
      </c>
      <c r="P546" s="3" t="s">
        <v>23</v>
      </c>
      <c r="Q546" s="5"/>
    </row>
    <row r="547" spans="1:17" ht="46.5">
      <c r="A547" s="5">
        <v>542</v>
      </c>
      <c r="B547" s="6" t="s">
        <v>16</v>
      </c>
      <c r="C547" s="5" t="str">
        <f>HYPERLINK("http://data.overheid.nl/data/dataset/overzicht-vlieglijnen-kribben-waal-2013","Overzicht vlieglijnen kribben Waal 2013")</f>
        <v>Overzicht vlieglijnen kribben Waal 2013</v>
      </c>
      <c r="D547" s="6" t="s">
        <v>17</v>
      </c>
      <c r="E547" s="5" t="s">
        <v>18</v>
      </c>
      <c r="F547" s="6" t="s">
        <v>813</v>
      </c>
      <c r="G547" s="5" t="s">
        <v>409</v>
      </c>
      <c r="H547" s="6" t="s">
        <v>20</v>
      </c>
      <c r="I547" s="5" t="s">
        <v>21</v>
      </c>
      <c r="J547" s="4" t="s">
        <v>22</v>
      </c>
      <c r="K547" s="2" t="s">
        <v>23</v>
      </c>
      <c r="L547" s="6" t="s">
        <v>24</v>
      </c>
      <c r="M547" s="5" t="s">
        <v>25</v>
      </c>
      <c r="N547" s="3" t="s">
        <v>26</v>
      </c>
      <c r="O547" s="5">
        <v>2</v>
      </c>
      <c r="P547" s="3" t="s">
        <v>23</v>
      </c>
      <c r="Q547" s="5"/>
    </row>
    <row r="548" spans="1:17" ht="62">
      <c r="A548" s="5">
        <v>543</v>
      </c>
      <c r="B548" s="6" t="s">
        <v>16</v>
      </c>
      <c r="C548" s="5" t="str">
        <f>HYPERLINK("http://data.overheid.nl/data/dataset/hoogtegegevens-kribben-waal-2013","Hoogtegegevens kribben Waal 2013")</f>
        <v>Hoogtegegevens kribben Waal 2013</v>
      </c>
      <c r="D548" s="6" t="s">
        <v>17</v>
      </c>
      <c r="E548" s="5" t="s">
        <v>18</v>
      </c>
      <c r="F548" s="6" t="s">
        <v>813</v>
      </c>
      <c r="G548" s="5" t="s">
        <v>410</v>
      </c>
      <c r="H548" s="6" t="s">
        <v>20</v>
      </c>
      <c r="I548" s="5" t="s">
        <v>21</v>
      </c>
      <c r="J548" s="4" t="s">
        <v>22</v>
      </c>
      <c r="K548" s="2" t="s">
        <v>23</v>
      </c>
      <c r="L548" s="6" t="s">
        <v>24</v>
      </c>
      <c r="M548" s="5" t="s">
        <v>25</v>
      </c>
      <c r="N548" s="3" t="s">
        <v>26</v>
      </c>
      <c r="O548" s="5">
        <v>2</v>
      </c>
      <c r="P548" s="3" t="s">
        <v>23</v>
      </c>
      <c r="Q548" s="5"/>
    </row>
    <row r="549" spans="1:17" ht="186">
      <c r="A549" s="5">
        <v>544</v>
      </c>
      <c r="B549" s="6" t="s">
        <v>16</v>
      </c>
      <c r="C549" s="5" t="str">
        <f>HYPERLINK("http://data.overheid.nl/data/dataset/legger-rijkswaterstaatswerken-waterwet-2-0-vwaterreguleringswerk","Legger Rijkswaterstaatswerken Waterwet 2.0 - vWaterReguleringsWerk")</f>
        <v>Legger Rijkswaterstaatswerken Waterwet 2.0 - vWaterReguleringsWerk</v>
      </c>
      <c r="D549" s="6" t="s">
        <v>17</v>
      </c>
      <c r="E549" s="5" t="s">
        <v>18</v>
      </c>
      <c r="F549" s="6" t="s">
        <v>813</v>
      </c>
      <c r="G549" s="5" t="s">
        <v>411</v>
      </c>
      <c r="H549" s="6" t="s">
        <v>20</v>
      </c>
      <c r="I549" s="5" t="s">
        <v>21</v>
      </c>
      <c r="J549" s="4" t="s">
        <v>22</v>
      </c>
      <c r="K549" s="2" t="s">
        <v>23</v>
      </c>
      <c r="L549" s="6" t="s">
        <v>24</v>
      </c>
      <c r="M549" s="5" t="s">
        <v>25</v>
      </c>
      <c r="N549" s="3" t="s">
        <v>412</v>
      </c>
      <c r="O549" s="5">
        <v>2</v>
      </c>
      <c r="P549" s="3" t="s">
        <v>23</v>
      </c>
      <c r="Q549" s="5"/>
    </row>
    <row r="550" spans="1:17" ht="186">
      <c r="A550" s="5">
        <v>545</v>
      </c>
      <c r="B550" s="6" t="s">
        <v>16</v>
      </c>
      <c r="C550" s="5" t="str">
        <f>HYPERLINK("http://data.overheid.nl/data/dataset/legger-rijkswaterstaatswerken-waterwet-2-0-vvrijstellingvergunningplicht","Legger Rijkswaterstaatswerken Waterwet 2.0 - vVrijstellingVergunningPlicht")</f>
        <v>Legger Rijkswaterstaatswerken Waterwet 2.0 - vVrijstellingVergunningPlicht</v>
      </c>
      <c r="D550" s="6" t="s">
        <v>17</v>
      </c>
      <c r="E550" s="5" t="s">
        <v>18</v>
      </c>
      <c r="F550" s="6" t="s">
        <v>813</v>
      </c>
      <c r="G550" s="5" t="s">
        <v>411</v>
      </c>
      <c r="H550" s="6" t="s">
        <v>20</v>
      </c>
      <c r="I550" s="5" t="s">
        <v>21</v>
      </c>
      <c r="J550" s="4" t="s">
        <v>22</v>
      </c>
      <c r="K550" s="2" t="s">
        <v>23</v>
      </c>
      <c r="L550" s="6" t="s">
        <v>24</v>
      </c>
      <c r="M550" s="5" t="s">
        <v>25</v>
      </c>
      <c r="N550" s="3" t="s">
        <v>412</v>
      </c>
      <c r="O550" s="5">
        <v>2</v>
      </c>
      <c r="P550" s="3" t="s">
        <v>23</v>
      </c>
      <c r="Q550" s="5"/>
    </row>
    <row r="551" spans="1:17" ht="186">
      <c r="A551" s="5">
        <v>546</v>
      </c>
      <c r="B551" s="6" t="s">
        <v>16</v>
      </c>
      <c r="C551" s="5" t="str">
        <f>HYPERLINK("http://data.overheid.nl/data/dataset/legger-rijkswaterstaatswerken-waterwet-2-0-top250-vlakken","Legger Rijkswaterstaatswerken Waterwet 2.0 - top250 vlakken")</f>
        <v>Legger Rijkswaterstaatswerken Waterwet 2.0 - top250 vlakken</v>
      </c>
      <c r="D551" s="6" t="s">
        <v>17</v>
      </c>
      <c r="E551" s="5" t="s">
        <v>18</v>
      </c>
      <c r="F551" s="6" t="s">
        <v>813</v>
      </c>
      <c r="G551" s="5" t="s">
        <v>411</v>
      </c>
      <c r="H551" s="6" t="s">
        <v>20</v>
      </c>
      <c r="I551" s="5" t="s">
        <v>21</v>
      </c>
      <c r="J551" s="4" t="s">
        <v>22</v>
      </c>
      <c r="K551" s="2" t="s">
        <v>23</v>
      </c>
      <c r="L551" s="6" t="s">
        <v>24</v>
      </c>
      <c r="M551" s="5" t="s">
        <v>25</v>
      </c>
      <c r="N551" s="3" t="s">
        <v>412</v>
      </c>
      <c r="O551" s="5">
        <v>2</v>
      </c>
      <c r="P551" s="3" t="s">
        <v>23</v>
      </c>
      <c r="Q551" s="5"/>
    </row>
    <row r="552" spans="1:17" ht="186">
      <c r="A552" s="5">
        <v>547</v>
      </c>
      <c r="B552" s="6" t="s">
        <v>16</v>
      </c>
      <c r="C552" s="5" t="str">
        <f>HYPERLINK("http://data.overheid.nl/data/dataset/legger-rijkswaterstaatswerken-waterwet-2-0-top250-bebouwing","Legger Rijkswaterstaatswerken Waterwet 2.0 - top250 bebouwing")</f>
        <v>Legger Rijkswaterstaatswerken Waterwet 2.0 - top250 bebouwing</v>
      </c>
      <c r="D552" s="6" t="s">
        <v>17</v>
      </c>
      <c r="E552" s="5" t="s">
        <v>18</v>
      </c>
      <c r="F552" s="6" t="s">
        <v>813</v>
      </c>
      <c r="G552" s="5" t="s">
        <v>411</v>
      </c>
      <c r="H552" s="6" t="s">
        <v>20</v>
      </c>
      <c r="I552" s="5" t="s">
        <v>21</v>
      </c>
      <c r="J552" s="4" t="s">
        <v>22</v>
      </c>
      <c r="K552" s="2" t="s">
        <v>23</v>
      </c>
      <c r="L552" s="6" t="s">
        <v>24</v>
      </c>
      <c r="M552" s="5" t="s">
        <v>25</v>
      </c>
      <c r="N552" s="3" t="s">
        <v>412</v>
      </c>
      <c r="O552" s="5">
        <v>2</v>
      </c>
      <c r="P552" s="3" t="s">
        <v>23</v>
      </c>
      <c r="Q552" s="5"/>
    </row>
    <row r="553" spans="1:17" ht="186">
      <c r="A553" s="5">
        <v>548</v>
      </c>
      <c r="B553" s="6" t="s">
        <v>16</v>
      </c>
      <c r="C553" s="5" t="str">
        <f>HYPERLINK("http://data.overheid.nl/data/dataset/legger-rijkswaterstaatswerken-waterwet-2-0-top10-vlak","Legger Rijkswaterstaatswerken Waterwet 2.0 - top10 vlak")</f>
        <v>Legger Rijkswaterstaatswerken Waterwet 2.0 - top10 vlak</v>
      </c>
      <c r="D553" s="6" t="s">
        <v>17</v>
      </c>
      <c r="E553" s="5" t="s">
        <v>18</v>
      </c>
      <c r="F553" s="6" t="s">
        <v>813</v>
      </c>
      <c r="G553" s="5" t="s">
        <v>411</v>
      </c>
      <c r="H553" s="6" t="s">
        <v>20</v>
      </c>
      <c r="I553" s="5" t="s">
        <v>21</v>
      </c>
      <c r="J553" s="4" t="s">
        <v>22</v>
      </c>
      <c r="K553" s="2" t="s">
        <v>23</v>
      </c>
      <c r="L553" s="6" t="s">
        <v>24</v>
      </c>
      <c r="M553" s="5" t="s">
        <v>25</v>
      </c>
      <c r="N553" s="3" t="s">
        <v>412</v>
      </c>
      <c r="O553" s="5">
        <v>2</v>
      </c>
      <c r="P553" s="3" t="s">
        <v>23</v>
      </c>
      <c r="Q553" s="5"/>
    </row>
    <row r="554" spans="1:17" ht="186">
      <c r="A554" s="5">
        <v>549</v>
      </c>
      <c r="B554" s="6" t="s">
        <v>16</v>
      </c>
      <c r="C554" s="5" t="str">
        <f>HYPERLINK("http://data.overheid.nl/data/dataset/legger-rijkswaterstaatswerken-waterwet-2-0-vstuw","Legger Rijkswaterstaatswerken Waterwet 2.0 - vStuw")</f>
        <v>Legger Rijkswaterstaatswerken Waterwet 2.0 - vStuw</v>
      </c>
      <c r="D554" s="6" t="s">
        <v>17</v>
      </c>
      <c r="E554" s="5" t="s">
        <v>18</v>
      </c>
      <c r="F554" s="6" t="s">
        <v>813</v>
      </c>
      <c r="G554" s="5" t="s">
        <v>411</v>
      </c>
      <c r="H554" s="6" t="s">
        <v>20</v>
      </c>
      <c r="I554" s="5" t="s">
        <v>21</v>
      </c>
      <c r="J554" s="4" t="s">
        <v>22</v>
      </c>
      <c r="K554" s="2" t="s">
        <v>23</v>
      </c>
      <c r="L554" s="6" t="s">
        <v>24</v>
      </c>
      <c r="M554" s="5" t="s">
        <v>25</v>
      </c>
      <c r="N554" s="3" t="s">
        <v>412</v>
      </c>
      <c r="O554" s="5">
        <v>2</v>
      </c>
      <c r="P554" s="3" t="s">
        <v>23</v>
      </c>
      <c r="Q554" s="5"/>
    </row>
    <row r="555" spans="1:17" ht="186">
      <c r="A555" s="5">
        <v>550</v>
      </c>
      <c r="B555" s="6" t="s">
        <v>16</v>
      </c>
      <c r="C555" s="5" t="str">
        <f>HYPERLINK("http://data.overheid.nl/data/dataset/legger-rijkswaterstaatswerken-waterwet-2-0-vstroomgeleidingsobject","Legger Rijkswaterstaatswerken Waterwet 2.0 - vStroomgeleidingsObject")</f>
        <v>Legger Rijkswaterstaatswerken Waterwet 2.0 - vStroomgeleidingsObject</v>
      </c>
      <c r="D555" s="6" t="s">
        <v>17</v>
      </c>
      <c r="E555" s="5" t="s">
        <v>18</v>
      </c>
      <c r="F555" s="6" t="s">
        <v>813</v>
      </c>
      <c r="G555" s="5" t="s">
        <v>411</v>
      </c>
      <c r="H555" s="6" t="s">
        <v>20</v>
      </c>
      <c r="I555" s="5" t="s">
        <v>21</v>
      </c>
      <c r="J555" s="4" t="s">
        <v>22</v>
      </c>
      <c r="K555" s="2" t="s">
        <v>23</v>
      </c>
      <c r="L555" s="6" t="s">
        <v>24</v>
      </c>
      <c r="M555" s="5" t="s">
        <v>25</v>
      </c>
      <c r="N555" s="3" t="s">
        <v>412</v>
      </c>
      <c r="O555" s="5">
        <v>2</v>
      </c>
      <c r="P555" s="3" t="s">
        <v>23</v>
      </c>
      <c r="Q555" s="5"/>
    </row>
    <row r="556" spans="1:17" ht="186">
      <c r="A556" s="5">
        <v>551</v>
      </c>
      <c r="B556" s="6" t="s">
        <v>16</v>
      </c>
      <c r="C556" s="5" t="str">
        <f>HYPERLINK("http://data.overheid.nl/data/dataset/legger-rijkswaterstaatswerken-waterwet-2-0-vschutsluis","Legger Rijkswaterstaatswerken Waterwet 2.0 - vSchutsluis")</f>
        <v>Legger Rijkswaterstaatswerken Waterwet 2.0 - vSchutsluis</v>
      </c>
      <c r="D556" s="6" t="s">
        <v>17</v>
      </c>
      <c r="E556" s="5" t="s">
        <v>18</v>
      </c>
      <c r="F556" s="6" t="s">
        <v>813</v>
      </c>
      <c r="G556" s="5" t="s">
        <v>411</v>
      </c>
      <c r="H556" s="6" t="s">
        <v>20</v>
      </c>
      <c r="I556" s="5" t="s">
        <v>21</v>
      </c>
      <c r="J556" s="4" t="s">
        <v>22</v>
      </c>
      <c r="K556" s="2" t="s">
        <v>23</v>
      </c>
      <c r="L556" s="6" t="s">
        <v>24</v>
      </c>
      <c r="M556" s="5" t="s">
        <v>25</v>
      </c>
      <c r="N556" s="3" t="s">
        <v>412</v>
      </c>
      <c r="O556" s="5">
        <v>2</v>
      </c>
      <c r="P556" s="3" t="s">
        <v>23</v>
      </c>
      <c r="Q556" s="5"/>
    </row>
    <row r="557" spans="1:17" ht="186">
      <c r="A557" s="5">
        <v>552</v>
      </c>
      <c r="B557" s="6" t="s">
        <v>16</v>
      </c>
      <c r="C557" s="5" t="str">
        <f>HYPERLINK("http://data.overheid.nl/data/dataset/legger-rijkswaterstaatswerken-waterwet-2-0-vrovaarweg","Legger Rijkswaterstaatswerken Waterwet 2.0 - vRoVaarweg")</f>
        <v>Legger Rijkswaterstaatswerken Waterwet 2.0 - vRoVaarweg</v>
      </c>
      <c r="D557" s="6" t="s">
        <v>17</v>
      </c>
      <c r="E557" s="5" t="s">
        <v>18</v>
      </c>
      <c r="F557" s="6" t="s">
        <v>813</v>
      </c>
      <c r="G557" s="5" t="s">
        <v>411</v>
      </c>
      <c r="H557" s="6" t="s">
        <v>20</v>
      </c>
      <c r="I557" s="5" t="s">
        <v>21</v>
      </c>
      <c r="J557" s="4" t="s">
        <v>22</v>
      </c>
      <c r="K557" s="2" t="s">
        <v>23</v>
      </c>
      <c r="L557" s="6" t="s">
        <v>24</v>
      </c>
      <c r="M557" s="5" t="s">
        <v>25</v>
      </c>
      <c r="N557" s="3" t="s">
        <v>412</v>
      </c>
      <c r="O557" s="5">
        <v>2</v>
      </c>
      <c r="P557" s="3" t="s">
        <v>23</v>
      </c>
      <c r="Q557" s="5"/>
    </row>
    <row r="558" spans="1:17" ht="186">
      <c r="A558" s="5">
        <v>553</v>
      </c>
      <c r="B558" s="6" t="s">
        <v>16</v>
      </c>
      <c r="C558" s="5" t="str">
        <f>HYPERLINK("http://data.overheid.nl/data/dataset/legger-rijkswaterstaatswerken-waterwet-2-0-voppervlaktewaterlichaam","Legger Rijkswaterstaatswerken Waterwet 2.0 - vOppervlaktewaterLichaam")</f>
        <v>Legger Rijkswaterstaatswerken Waterwet 2.0 - vOppervlaktewaterLichaam</v>
      </c>
      <c r="D558" s="6" t="s">
        <v>17</v>
      </c>
      <c r="E558" s="5" t="s">
        <v>18</v>
      </c>
      <c r="F558" s="6" t="s">
        <v>813</v>
      </c>
      <c r="G558" s="5" t="s">
        <v>411</v>
      </c>
      <c r="H558" s="6" t="s">
        <v>20</v>
      </c>
      <c r="I558" s="5" t="s">
        <v>21</v>
      </c>
      <c r="J558" s="4" t="s">
        <v>22</v>
      </c>
      <c r="K558" s="2" t="s">
        <v>23</v>
      </c>
      <c r="L558" s="6" t="s">
        <v>24</v>
      </c>
      <c r="M558" s="5" t="s">
        <v>25</v>
      </c>
      <c r="N558" s="3" t="s">
        <v>412</v>
      </c>
      <c r="O558" s="5">
        <v>2</v>
      </c>
      <c r="P558" s="3" t="s">
        <v>23</v>
      </c>
      <c r="Q558" s="5"/>
    </row>
    <row r="559" spans="1:17" ht="186">
      <c r="A559" s="5">
        <v>554</v>
      </c>
      <c r="B559" s="6" t="s">
        <v>16</v>
      </c>
      <c r="C559" s="5" t="str">
        <f>HYPERLINK("http://data.overheid.nl/data/dataset/legger-rijkswaterstaatswerken-waterwet-2-0-voever","Legger Rijkswaterstaatswerken Waterwet 2.0 - vOever")</f>
        <v>Legger Rijkswaterstaatswerken Waterwet 2.0 - vOever</v>
      </c>
      <c r="D559" s="6" t="s">
        <v>17</v>
      </c>
      <c r="E559" s="5" t="s">
        <v>18</v>
      </c>
      <c r="F559" s="6" t="s">
        <v>813</v>
      </c>
      <c r="G559" s="5" t="s">
        <v>411</v>
      </c>
      <c r="H559" s="6" t="s">
        <v>20</v>
      </c>
      <c r="I559" s="5" t="s">
        <v>21</v>
      </c>
      <c r="J559" s="4" t="s">
        <v>22</v>
      </c>
      <c r="K559" s="2" t="s">
        <v>23</v>
      </c>
      <c r="L559" s="6" t="s">
        <v>24</v>
      </c>
      <c r="M559" s="5" t="s">
        <v>25</v>
      </c>
      <c r="N559" s="3" t="s">
        <v>412</v>
      </c>
      <c r="O559" s="5">
        <v>4</v>
      </c>
      <c r="P559" s="3" t="s">
        <v>23</v>
      </c>
      <c r="Q559" s="5"/>
    </row>
    <row r="560" spans="1:17" ht="186">
      <c r="A560" s="5">
        <v>555</v>
      </c>
      <c r="B560" s="6" t="s">
        <v>16</v>
      </c>
      <c r="C560" s="5" t="str">
        <f>HYPERLINK("http://data.overheid.nl/data/dataset/legger-rijkswaterstaatswerken-waterwet-2-0-nederland-nieuw","Legger Rijkswaterstaatswerken Waterwet 2.0 - Nederland nieuw")</f>
        <v>Legger Rijkswaterstaatswerken Waterwet 2.0 - Nederland nieuw</v>
      </c>
      <c r="D560" s="6" t="s">
        <v>17</v>
      </c>
      <c r="E560" s="5" t="s">
        <v>18</v>
      </c>
      <c r="F560" s="6" t="s">
        <v>813</v>
      </c>
      <c r="G560" s="5" t="s">
        <v>411</v>
      </c>
      <c r="H560" s="6" t="s">
        <v>20</v>
      </c>
      <c r="I560" s="5" t="s">
        <v>21</v>
      </c>
      <c r="J560" s="4" t="s">
        <v>22</v>
      </c>
      <c r="K560" s="2" t="s">
        <v>23</v>
      </c>
      <c r="L560" s="6" t="s">
        <v>24</v>
      </c>
      <c r="M560" s="5" t="s">
        <v>25</v>
      </c>
      <c r="N560" s="3" t="s">
        <v>412</v>
      </c>
      <c r="O560" s="5">
        <v>2</v>
      </c>
      <c r="P560" s="3" t="s">
        <v>23</v>
      </c>
      <c r="Q560" s="5"/>
    </row>
    <row r="561" spans="1:17" ht="186">
      <c r="A561" s="5">
        <v>556</v>
      </c>
      <c r="B561" s="6" t="s">
        <v>16</v>
      </c>
      <c r="C561" s="5" t="str">
        <f>HYPERLINK("http://data.overheid.nl/data/dataset/legger-rijkswaterstaatswerken-waterwet-2-0-vkrib","Legger Rijkswaterstaatswerken Waterwet 2.0 - vKrib")</f>
        <v>Legger Rijkswaterstaatswerken Waterwet 2.0 - vKrib</v>
      </c>
      <c r="D561" s="6" t="s">
        <v>17</v>
      </c>
      <c r="E561" s="5" t="s">
        <v>18</v>
      </c>
      <c r="F561" s="6" t="s">
        <v>813</v>
      </c>
      <c r="G561" s="5" t="s">
        <v>411</v>
      </c>
      <c r="H561" s="6" t="s">
        <v>20</v>
      </c>
      <c r="I561" s="5" t="s">
        <v>21</v>
      </c>
      <c r="J561" s="4" t="s">
        <v>22</v>
      </c>
      <c r="K561" s="2" t="s">
        <v>23</v>
      </c>
      <c r="L561" s="6" t="s">
        <v>24</v>
      </c>
      <c r="M561" s="5" t="s">
        <v>25</v>
      </c>
      <c r="N561" s="3" t="s">
        <v>412</v>
      </c>
      <c r="O561" s="5">
        <v>2</v>
      </c>
      <c r="P561" s="3" t="s">
        <v>23</v>
      </c>
      <c r="Q561" s="5"/>
    </row>
    <row r="562" spans="1:17" ht="186">
      <c r="A562" s="5">
        <v>557</v>
      </c>
      <c r="B562" s="6" t="s">
        <v>16</v>
      </c>
      <c r="C562" s="5" t="str">
        <f>HYPERLINK("http://data.overheid.nl/data/dataset/legger-rijkswaterstaatswerken-waterwet-2-0-vkaartblad","Legger Rijkswaterstaatswerken Waterwet 2.0 - vKaartblad")</f>
        <v>Legger Rijkswaterstaatswerken Waterwet 2.0 - vKaartblad</v>
      </c>
      <c r="D562" s="6" t="s">
        <v>17</v>
      </c>
      <c r="E562" s="5" t="s">
        <v>18</v>
      </c>
      <c r="F562" s="6" t="s">
        <v>813</v>
      </c>
      <c r="G562" s="5" t="s">
        <v>411</v>
      </c>
      <c r="H562" s="6" t="s">
        <v>20</v>
      </c>
      <c r="I562" s="5" t="s">
        <v>21</v>
      </c>
      <c r="J562" s="4" t="s">
        <v>22</v>
      </c>
      <c r="K562" s="2" t="s">
        <v>23</v>
      </c>
      <c r="L562" s="6" t="s">
        <v>24</v>
      </c>
      <c r="M562" s="5" t="s">
        <v>25</v>
      </c>
      <c r="N562" s="3" t="s">
        <v>412</v>
      </c>
      <c r="O562" s="5">
        <v>2</v>
      </c>
      <c r="P562" s="3" t="s">
        <v>23</v>
      </c>
      <c r="Q562" s="5"/>
    </row>
    <row r="563" spans="1:17" ht="186">
      <c r="A563" s="5">
        <v>558</v>
      </c>
      <c r="B563" s="6" t="s">
        <v>16</v>
      </c>
      <c r="C563" s="5" t="str">
        <f>HYPERLINK("http://data.overheid.nl/data/dataset/legger-rijkswaterstaatswerken-waterwet-2-0-vinuitwateringsluis","Legger Rijkswaterstaatswerken Waterwet 2.0 - vInUitwateringSluis")</f>
        <v>Legger Rijkswaterstaatswerken Waterwet 2.0 - vInUitwateringSluis</v>
      </c>
      <c r="D563" s="6" t="s">
        <v>17</v>
      </c>
      <c r="E563" s="5" t="s">
        <v>18</v>
      </c>
      <c r="F563" s="6" t="s">
        <v>813</v>
      </c>
      <c r="G563" s="5" t="s">
        <v>411</v>
      </c>
      <c r="H563" s="6" t="s">
        <v>20</v>
      </c>
      <c r="I563" s="5" t="s">
        <v>21</v>
      </c>
      <c r="J563" s="4" t="s">
        <v>22</v>
      </c>
      <c r="K563" s="2" t="s">
        <v>23</v>
      </c>
      <c r="L563" s="6" t="s">
        <v>24</v>
      </c>
      <c r="M563" s="5" t="s">
        <v>25</v>
      </c>
      <c r="N563" s="3" t="s">
        <v>412</v>
      </c>
      <c r="O563" s="5">
        <v>2</v>
      </c>
      <c r="P563" s="3" t="s">
        <v>23</v>
      </c>
      <c r="Q563" s="5"/>
    </row>
    <row r="564" spans="1:17" ht="186">
      <c r="A564" s="5">
        <v>559</v>
      </c>
      <c r="B564" s="6" t="s">
        <v>16</v>
      </c>
      <c r="C564" s="5" t="str">
        <f>HYPERLINK("http://data.overheid.nl/data/dataset/legger-rijkswaterstaatswerken-waterwet-2-0-vgenormeerdprofiel","Legger Rijkswaterstaatswerken Waterwet 2.0 - vGenormeerdProfiel")</f>
        <v>Legger Rijkswaterstaatswerken Waterwet 2.0 - vGenormeerdProfiel</v>
      </c>
      <c r="D564" s="6" t="s">
        <v>17</v>
      </c>
      <c r="E564" s="5" t="s">
        <v>18</v>
      </c>
      <c r="F564" s="6" t="s">
        <v>813</v>
      </c>
      <c r="G564" s="5" t="s">
        <v>411</v>
      </c>
      <c r="H564" s="6" t="s">
        <v>20</v>
      </c>
      <c r="I564" s="5" t="s">
        <v>21</v>
      </c>
      <c r="J564" s="4" t="s">
        <v>22</v>
      </c>
      <c r="K564" s="2" t="s">
        <v>23</v>
      </c>
      <c r="L564" s="6" t="s">
        <v>24</v>
      </c>
      <c r="M564" s="5" t="s">
        <v>25</v>
      </c>
      <c r="N564" s="3" t="s">
        <v>412</v>
      </c>
      <c r="O564" s="5">
        <v>2</v>
      </c>
      <c r="P564" s="3" t="s">
        <v>23</v>
      </c>
      <c r="Q564" s="5"/>
    </row>
    <row r="565" spans="1:17" ht="186">
      <c r="A565" s="5">
        <v>560</v>
      </c>
      <c r="B565" s="6" t="s">
        <v>16</v>
      </c>
      <c r="C565" s="5" t="str">
        <f>HYPERLINK("http://data.overheid.nl/data/dataset/legger-rijkswaterstaatswerken-waterwet-2-0-vgemaal","Legger Rijkswaterstaatswerken Waterwet 2.0 - vGemaal")</f>
        <v>Legger Rijkswaterstaatswerken Waterwet 2.0 - vGemaal</v>
      </c>
      <c r="D565" s="6" t="s">
        <v>17</v>
      </c>
      <c r="E565" s="5" t="s">
        <v>18</v>
      </c>
      <c r="F565" s="6" t="s">
        <v>813</v>
      </c>
      <c r="G565" s="5" t="s">
        <v>411</v>
      </c>
      <c r="H565" s="6" t="s">
        <v>20</v>
      </c>
      <c r="I565" s="5" t="s">
        <v>21</v>
      </c>
      <c r="J565" s="4" t="s">
        <v>22</v>
      </c>
      <c r="K565" s="2" t="s">
        <v>23</v>
      </c>
      <c r="L565" s="6" t="s">
        <v>24</v>
      </c>
      <c r="M565" s="5" t="s">
        <v>25</v>
      </c>
      <c r="N565" s="3" t="s">
        <v>412</v>
      </c>
      <c r="O565" s="5">
        <v>2</v>
      </c>
      <c r="P565" s="3" t="s">
        <v>23</v>
      </c>
      <c r="Q565" s="5"/>
    </row>
    <row r="566" spans="1:17" ht="186">
      <c r="A566" s="5">
        <v>561</v>
      </c>
      <c r="B566" s="6" t="s">
        <v>16</v>
      </c>
      <c r="C566" s="5" t="str">
        <f>HYPERLINK("http://data.overheid.nl/data/dataset/legger-rijkswaterstaatswerken-waterwet-2-0-dtb-vlak","Legger Rijkswaterstaatswerken Waterwet 2.0 - DTB vlak")</f>
        <v>Legger Rijkswaterstaatswerken Waterwet 2.0 - DTB vlak</v>
      </c>
      <c r="D566" s="6" t="s">
        <v>17</v>
      </c>
      <c r="E566" s="5" t="s">
        <v>18</v>
      </c>
      <c r="F566" s="6" t="s">
        <v>813</v>
      </c>
      <c r="G566" s="5" t="s">
        <v>411</v>
      </c>
      <c r="H566" s="6" t="s">
        <v>20</v>
      </c>
      <c r="I566" s="5" t="s">
        <v>21</v>
      </c>
      <c r="J566" s="4" t="s">
        <v>22</v>
      </c>
      <c r="K566" s="2" t="s">
        <v>23</v>
      </c>
      <c r="L566" s="6" t="s">
        <v>24</v>
      </c>
      <c r="M566" s="5" t="s">
        <v>25</v>
      </c>
      <c r="N566" s="3" t="s">
        <v>412</v>
      </c>
      <c r="O566" s="5">
        <v>2</v>
      </c>
      <c r="P566" s="3" t="s">
        <v>23</v>
      </c>
      <c r="Q566" s="5"/>
    </row>
    <row r="567" spans="1:17" ht="186">
      <c r="A567" s="5">
        <v>562</v>
      </c>
      <c r="B567" s="6" t="s">
        <v>16</v>
      </c>
      <c r="C567" s="5" t="str">
        <f>HYPERLINK("http://data.overheid.nl/data/dataset/legger-rijkswaterstaatswerken-waterwet-2-0-pkunstwerkderden","Legger Rijkswaterstaatswerken Waterwet 2.0 - pKunstwerkDerden")</f>
        <v>Legger Rijkswaterstaatswerken Waterwet 2.0 - pKunstwerkDerden</v>
      </c>
      <c r="D567" s="6" t="s">
        <v>17</v>
      </c>
      <c r="E567" s="5" t="s">
        <v>18</v>
      </c>
      <c r="F567" s="6" t="s">
        <v>813</v>
      </c>
      <c r="G567" s="5" t="s">
        <v>411</v>
      </c>
      <c r="H567" s="6" t="s">
        <v>20</v>
      </c>
      <c r="I567" s="5" t="s">
        <v>21</v>
      </c>
      <c r="J567" s="4" t="s">
        <v>22</v>
      </c>
      <c r="K567" s="2" t="s">
        <v>23</v>
      </c>
      <c r="L567" s="6" t="s">
        <v>24</v>
      </c>
      <c r="M567" s="5" t="s">
        <v>25</v>
      </c>
      <c r="N567" s="3" t="s">
        <v>412</v>
      </c>
      <c r="O567" s="5">
        <v>2</v>
      </c>
      <c r="P567" s="3" t="s">
        <v>23</v>
      </c>
      <c r="Q567" s="5"/>
    </row>
    <row r="568" spans="1:17" ht="186">
      <c r="A568" s="5">
        <v>563</v>
      </c>
      <c r="B568" s="6" t="s">
        <v>16</v>
      </c>
      <c r="C568" s="5" t="str">
        <f>HYPERLINK("http://data.overheid.nl/data/dataset/legger-rijkswaterstaatswerken-waterwet-2-0-pkribkop","Legger Rijkswaterstaatswerken Waterwet 2.0 - pKribKop")</f>
        <v>Legger Rijkswaterstaatswerken Waterwet 2.0 - pKribKop</v>
      </c>
      <c r="D568" s="6" t="s">
        <v>17</v>
      </c>
      <c r="E568" s="5" t="s">
        <v>18</v>
      </c>
      <c r="F568" s="6" t="s">
        <v>813</v>
      </c>
      <c r="G568" s="5" t="s">
        <v>411</v>
      </c>
      <c r="H568" s="6" t="s">
        <v>20</v>
      </c>
      <c r="I568" s="5" t="s">
        <v>21</v>
      </c>
      <c r="J568" s="4" t="s">
        <v>22</v>
      </c>
      <c r="K568" s="2" t="s">
        <v>23</v>
      </c>
      <c r="L568" s="6" t="s">
        <v>24</v>
      </c>
      <c r="M568" s="5" t="s">
        <v>25</v>
      </c>
      <c r="N568" s="3" t="s">
        <v>412</v>
      </c>
      <c r="O568" s="5">
        <v>2</v>
      </c>
      <c r="P568" s="3" t="s">
        <v>23</v>
      </c>
      <c r="Q568" s="5"/>
    </row>
    <row r="569" spans="1:17" ht="186">
      <c r="A569" s="5">
        <v>564</v>
      </c>
      <c r="B569" s="6" t="s">
        <v>16</v>
      </c>
      <c r="C569" s="5" t="str">
        <f>HYPERLINK("http://data.overheid.nl/data/dataset/legger-rijkswaterstaatswerken-waterwet-2-0-pkilometrering","Legger Rijkswaterstaatswerken Waterwet 2.0 - pKilometrering")</f>
        <v>Legger Rijkswaterstaatswerken Waterwet 2.0 - pKilometrering</v>
      </c>
      <c r="D569" s="6" t="s">
        <v>17</v>
      </c>
      <c r="E569" s="5" t="s">
        <v>18</v>
      </c>
      <c r="F569" s="6" t="s">
        <v>813</v>
      </c>
      <c r="G569" s="5" t="s">
        <v>411</v>
      </c>
      <c r="H569" s="6" t="s">
        <v>20</v>
      </c>
      <c r="I569" s="5" t="s">
        <v>21</v>
      </c>
      <c r="J569" s="4" t="s">
        <v>22</v>
      </c>
      <c r="K569" s="2" t="s">
        <v>23</v>
      </c>
      <c r="L569" s="6" t="s">
        <v>24</v>
      </c>
      <c r="M569" s="5" t="s">
        <v>25</v>
      </c>
      <c r="N569" s="3" t="s">
        <v>412</v>
      </c>
      <c r="O569" s="5">
        <v>2</v>
      </c>
      <c r="P569" s="3" t="s">
        <v>23</v>
      </c>
      <c r="Q569" s="5"/>
    </row>
    <row r="570" spans="1:17" ht="186">
      <c r="A570" s="5">
        <v>565</v>
      </c>
      <c r="B570" s="6" t="s">
        <v>16</v>
      </c>
      <c r="C570" s="5" t="str">
        <f>HYPERLINK("http://data.overheid.nl/data/dataset/legger-rijkswaterstaatswerken-waterwet-2-0-top10-lijn","Legger Rijkswaterstaatswerken Waterwet 2.0 - top10 lijn")</f>
        <v>Legger Rijkswaterstaatswerken Waterwet 2.0 - top10 lijn</v>
      </c>
      <c r="D570" s="6" t="s">
        <v>17</v>
      </c>
      <c r="E570" s="5" t="s">
        <v>18</v>
      </c>
      <c r="F570" s="6" t="s">
        <v>813</v>
      </c>
      <c r="G570" s="5" t="s">
        <v>411</v>
      </c>
      <c r="H570" s="6" t="s">
        <v>20</v>
      </c>
      <c r="I570" s="5" t="s">
        <v>21</v>
      </c>
      <c r="J570" s="4" t="s">
        <v>22</v>
      </c>
      <c r="K570" s="2" t="s">
        <v>23</v>
      </c>
      <c r="L570" s="6" t="s">
        <v>24</v>
      </c>
      <c r="M570" s="5" t="s">
        <v>25</v>
      </c>
      <c r="N570" s="3" t="s">
        <v>412</v>
      </c>
      <c r="O570" s="5">
        <v>2</v>
      </c>
      <c r="P570" s="3" t="s">
        <v>23</v>
      </c>
      <c r="Q570" s="5"/>
    </row>
    <row r="571" spans="1:17" ht="186">
      <c r="A571" s="5">
        <v>566</v>
      </c>
      <c r="B571" s="6" t="s">
        <v>16</v>
      </c>
      <c r="C571" s="5" t="str">
        <f>HYPERLINK("http://data.overheid.nl/data/dataset/legger-rijkswaterstaatswerken-waterwet-2-0-lprofieloppervlaktewaterlichaam","Legger Rijkswaterstaatswerken Waterwet 2.0 - lProfielOppervlaktewaterLichaam")</f>
        <v>Legger Rijkswaterstaatswerken Waterwet 2.0 - lProfielOppervlaktewaterLichaam</v>
      </c>
      <c r="D571" s="6" t="s">
        <v>17</v>
      </c>
      <c r="E571" s="5" t="s">
        <v>18</v>
      </c>
      <c r="F571" s="6" t="s">
        <v>813</v>
      </c>
      <c r="G571" s="5" t="s">
        <v>411</v>
      </c>
      <c r="H571" s="6" t="s">
        <v>20</v>
      </c>
      <c r="I571" s="5" t="s">
        <v>21</v>
      </c>
      <c r="J571" s="4" t="s">
        <v>22</v>
      </c>
      <c r="K571" s="2" t="s">
        <v>23</v>
      </c>
      <c r="L571" s="6" t="s">
        <v>24</v>
      </c>
      <c r="M571" s="5" t="s">
        <v>25</v>
      </c>
      <c r="N571" s="3" t="s">
        <v>412</v>
      </c>
      <c r="O571" s="5">
        <v>2</v>
      </c>
      <c r="P571" s="3" t="s">
        <v>23</v>
      </c>
      <c r="Q571" s="5"/>
    </row>
    <row r="572" spans="1:17" ht="186">
      <c r="A572" s="5">
        <v>567</v>
      </c>
      <c r="B572" s="6" t="s">
        <v>16</v>
      </c>
      <c r="C572" s="5" t="str">
        <f>HYPERLINK("http://data.overheid.nl/data/dataset/legger-rijkswaterstaatswerken-waterwet-2-0-loever","Legger Rijkswaterstaatswerken Waterwet 2.0 - lOever")</f>
        <v>Legger Rijkswaterstaatswerken Waterwet 2.0 - lOever</v>
      </c>
      <c r="D572" s="6" t="s">
        <v>17</v>
      </c>
      <c r="E572" s="5" t="s">
        <v>18</v>
      </c>
      <c r="F572" s="6" t="s">
        <v>813</v>
      </c>
      <c r="G572" s="5" t="s">
        <v>411</v>
      </c>
      <c r="H572" s="6" t="s">
        <v>20</v>
      </c>
      <c r="I572" s="5" t="s">
        <v>21</v>
      </c>
      <c r="J572" s="4" t="s">
        <v>22</v>
      </c>
      <c r="K572" s="2" t="s">
        <v>23</v>
      </c>
      <c r="L572" s="6" t="s">
        <v>24</v>
      </c>
      <c r="M572" s="5" t="s">
        <v>25</v>
      </c>
      <c r="N572" s="3" t="s">
        <v>412</v>
      </c>
      <c r="O572" s="5">
        <v>2</v>
      </c>
      <c r="P572" s="3" t="s">
        <v>23</v>
      </c>
      <c r="Q572" s="5"/>
    </row>
    <row r="573" spans="1:17" ht="186">
      <c r="A573" s="5">
        <v>568</v>
      </c>
      <c r="B573" s="6" t="s">
        <v>16</v>
      </c>
      <c r="C573" s="5" t="str">
        <f>HYPERLINK("http://data.overheid.nl/data/dataset/legger-rijkswaterstaatswerken-waterwet-2-0-llengteprofielregionalekering","Legger Rijkswaterstaatswerken Waterwet 2.0 - lLengteProfielRegionaleKering")</f>
        <v>Legger Rijkswaterstaatswerken Waterwet 2.0 - lLengteProfielRegionaleKering</v>
      </c>
      <c r="D573" s="6" t="s">
        <v>17</v>
      </c>
      <c r="E573" s="5" t="s">
        <v>18</v>
      </c>
      <c r="F573" s="6" t="s">
        <v>813</v>
      </c>
      <c r="G573" s="5" t="s">
        <v>411</v>
      </c>
      <c r="H573" s="6" t="s">
        <v>20</v>
      </c>
      <c r="I573" s="5" t="s">
        <v>21</v>
      </c>
      <c r="J573" s="4" t="s">
        <v>22</v>
      </c>
      <c r="K573" s="2" t="s">
        <v>23</v>
      </c>
      <c r="L573" s="6" t="s">
        <v>24</v>
      </c>
      <c r="M573" s="5" t="s">
        <v>25</v>
      </c>
      <c r="N573" s="3" t="s">
        <v>412</v>
      </c>
      <c r="O573" s="5">
        <v>2</v>
      </c>
      <c r="P573" s="3" t="s">
        <v>23</v>
      </c>
      <c r="Q573" s="5"/>
    </row>
    <row r="574" spans="1:17" ht="186">
      <c r="A574" s="5">
        <v>569</v>
      </c>
      <c r="B574" s="6" t="s">
        <v>16</v>
      </c>
      <c r="C574" s="5" t="str">
        <f>HYPERLINK("http://data.overheid.nl/data/dataset/legger-rijkswaterstaatswerken-waterwet-2-0-lkade","Legger Rijkswaterstaatswerken Waterwet 2.0 - lKade")</f>
        <v>Legger Rijkswaterstaatswerken Waterwet 2.0 - lKade</v>
      </c>
      <c r="D574" s="6" t="s">
        <v>17</v>
      </c>
      <c r="E574" s="5" t="s">
        <v>18</v>
      </c>
      <c r="F574" s="6" t="s">
        <v>813</v>
      </c>
      <c r="G574" s="5" t="s">
        <v>411</v>
      </c>
      <c r="H574" s="6" t="s">
        <v>20</v>
      </c>
      <c r="I574" s="5" t="s">
        <v>21</v>
      </c>
      <c r="J574" s="4" t="s">
        <v>22</v>
      </c>
      <c r="K574" s="2" t="s">
        <v>23</v>
      </c>
      <c r="L574" s="6" t="s">
        <v>24</v>
      </c>
      <c r="M574" s="5" t="s">
        <v>25</v>
      </c>
      <c r="N574" s="3" t="s">
        <v>412</v>
      </c>
      <c r="O574" s="5">
        <v>2</v>
      </c>
      <c r="P574" s="3" t="s">
        <v>23</v>
      </c>
      <c r="Q574" s="5"/>
    </row>
    <row r="575" spans="1:17" ht="186">
      <c r="A575" s="5">
        <v>570</v>
      </c>
      <c r="B575" s="6" t="s">
        <v>16</v>
      </c>
      <c r="C575" s="5" t="str">
        <f>HYPERLINK("http://data.overheid.nl/data/dataset/legger-rijkswaterstaatswerken-waterwet-2-0-ldwarsprofielregionalekering","Legger Rijkswaterstaatswerken Waterwet 2.0 - lDwarsProfielRegionaleKering")</f>
        <v>Legger Rijkswaterstaatswerken Waterwet 2.0 - lDwarsProfielRegionaleKering</v>
      </c>
      <c r="D575" s="6" t="s">
        <v>17</v>
      </c>
      <c r="E575" s="5" t="s">
        <v>18</v>
      </c>
      <c r="F575" s="6" t="s">
        <v>813</v>
      </c>
      <c r="G575" s="5" t="s">
        <v>411</v>
      </c>
      <c r="H575" s="6" t="s">
        <v>20</v>
      </c>
      <c r="I575" s="5" t="s">
        <v>21</v>
      </c>
      <c r="J575" s="4" t="s">
        <v>22</v>
      </c>
      <c r="K575" s="2" t="s">
        <v>23</v>
      </c>
      <c r="L575" s="6" t="s">
        <v>24</v>
      </c>
      <c r="M575" s="5" t="s">
        <v>25</v>
      </c>
      <c r="N575" s="3" t="s">
        <v>412</v>
      </c>
      <c r="O575" s="5">
        <v>2</v>
      </c>
      <c r="P575" s="3" t="s">
        <v>23</v>
      </c>
      <c r="Q575" s="5"/>
    </row>
    <row r="576" spans="1:17" ht="186">
      <c r="A576" s="5">
        <v>571</v>
      </c>
      <c r="B576" s="6" t="s">
        <v>16</v>
      </c>
      <c r="C576" s="5" t="str">
        <f>HYPERLINK("http://data.overheid.nl/data/dataset/legger-rijkswaterstaatswerken-waterwet-2-0-dtb-lijn","Legger Rijkswaterstaatswerken Waterwet 2.0 - DTB lijn")</f>
        <v>Legger Rijkswaterstaatswerken Waterwet 2.0 - DTB lijn</v>
      </c>
      <c r="D576" s="6" t="s">
        <v>17</v>
      </c>
      <c r="E576" s="5" t="s">
        <v>18</v>
      </c>
      <c r="F576" s="6" t="s">
        <v>813</v>
      </c>
      <c r="G576" s="5" t="s">
        <v>411</v>
      </c>
      <c r="H576" s="6" t="s">
        <v>20</v>
      </c>
      <c r="I576" s="5" t="s">
        <v>21</v>
      </c>
      <c r="J576" s="4" t="s">
        <v>22</v>
      </c>
      <c r="K576" s="2" t="s">
        <v>23</v>
      </c>
      <c r="L576" s="6" t="s">
        <v>24</v>
      </c>
      <c r="M576" s="5" t="s">
        <v>25</v>
      </c>
      <c r="N576" s="3" t="s">
        <v>412</v>
      </c>
      <c r="O576" s="5">
        <v>2</v>
      </c>
      <c r="P576" s="3" t="s">
        <v>23</v>
      </c>
      <c r="Q576" s="5"/>
    </row>
    <row r="577" spans="1:17" ht="186">
      <c r="A577" s="5">
        <v>572</v>
      </c>
      <c r="B577" s="6" t="s">
        <v>16</v>
      </c>
      <c r="C577" s="5" t="str">
        <f>HYPERLINK("http://data.overheid.nl/data/dataset/legger-rijkswaterstaatswerken-waterwet-2-0-zn-rivier","Legger Rijkswaterstaatswerken Waterwet 2.0 - ZN rivier")</f>
        <v>Legger Rijkswaterstaatswerken Waterwet 2.0 - ZN rivier</v>
      </c>
      <c r="D577" s="6" t="s">
        <v>17</v>
      </c>
      <c r="E577" s="5" t="s">
        <v>18</v>
      </c>
      <c r="F577" s="6" t="s">
        <v>813</v>
      </c>
      <c r="G577" s="5" t="s">
        <v>411</v>
      </c>
      <c r="H577" s="6" t="s">
        <v>20</v>
      </c>
      <c r="I577" s="5" t="s">
        <v>21</v>
      </c>
      <c r="J577" s="4" t="s">
        <v>22</v>
      </c>
      <c r="K577" s="2" t="s">
        <v>23</v>
      </c>
      <c r="L577" s="6" t="s">
        <v>24</v>
      </c>
      <c r="M577" s="5" t="s">
        <v>25</v>
      </c>
      <c r="N577" s="3" t="s">
        <v>412</v>
      </c>
      <c r="O577" s="5">
        <v>2</v>
      </c>
      <c r="P577" s="3" t="s">
        <v>23</v>
      </c>
      <c r="Q577" s="5"/>
    </row>
    <row r="578" spans="1:17" ht="186">
      <c r="A578" s="5">
        <v>573</v>
      </c>
      <c r="B578" s="6" t="s">
        <v>16</v>
      </c>
      <c r="C578" s="5" t="str">
        <f>HYPERLINK("http://data.overheid.nl/data/dataset/legger-rijkswaterstaatswerken-waterwet-2-0-wnz-rivier","Legger Rijkswaterstaatswerken Waterwet 2.0 - WNZ rivier")</f>
        <v>Legger Rijkswaterstaatswerken Waterwet 2.0 - WNZ rivier</v>
      </c>
      <c r="D578" s="6" t="s">
        <v>17</v>
      </c>
      <c r="E578" s="5" t="s">
        <v>18</v>
      </c>
      <c r="F578" s="6" t="s">
        <v>813</v>
      </c>
      <c r="G578" s="5" t="s">
        <v>411</v>
      </c>
      <c r="H578" s="6" t="s">
        <v>20</v>
      </c>
      <c r="I578" s="5" t="s">
        <v>21</v>
      </c>
      <c r="J578" s="4" t="s">
        <v>22</v>
      </c>
      <c r="K578" s="2" t="s">
        <v>23</v>
      </c>
      <c r="L578" s="6" t="s">
        <v>24</v>
      </c>
      <c r="M578" s="5" t="s">
        <v>25</v>
      </c>
      <c r="N578" s="3" t="s">
        <v>412</v>
      </c>
      <c r="O578" s="5">
        <v>2</v>
      </c>
      <c r="P578" s="3" t="s">
        <v>23</v>
      </c>
      <c r="Q578" s="5"/>
    </row>
    <row r="579" spans="1:17" ht="186">
      <c r="A579" s="5">
        <v>574</v>
      </c>
      <c r="B579" s="6" t="s">
        <v>16</v>
      </c>
      <c r="C579" s="5" t="str">
        <f>HYPERLINK("http://data.overheid.nl/data/dataset/legger-rijkswaterstaatswerken-waterwet-2-0-on-rivier","Legger Rijkswaterstaatswerken Waterwet 2.0 - ON rivier")</f>
        <v>Legger Rijkswaterstaatswerken Waterwet 2.0 - ON rivier</v>
      </c>
      <c r="D579" s="6" t="s">
        <v>17</v>
      </c>
      <c r="E579" s="5" t="s">
        <v>18</v>
      </c>
      <c r="F579" s="6" t="s">
        <v>813</v>
      </c>
      <c r="G579" s="5" t="s">
        <v>411</v>
      </c>
      <c r="H579" s="6" t="s">
        <v>20</v>
      </c>
      <c r="I579" s="5" t="s">
        <v>21</v>
      </c>
      <c r="J579" s="4" t="s">
        <v>22</v>
      </c>
      <c r="K579" s="2" t="s">
        <v>23</v>
      </c>
      <c r="L579" s="6" t="s">
        <v>24</v>
      </c>
      <c r="M579" s="5" t="s">
        <v>25</v>
      </c>
      <c r="N579" s="3" t="s">
        <v>412</v>
      </c>
      <c r="O579" s="5">
        <v>2</v>
      </c>
      <c r="P579" s="3" t="s">
        <v>23</v>
      </c>
      <c r="Q579" s="5"/>
    </row>
    <row r="580" spans="1:17" ht="186">
      <c r="A580" s="5">
        <v>575</v>
      </c>
      <c r="B580" s="6" t="s">
        <v>16</v>
      </c>
      <c r="C580" s="5" t="str">
        <f>HYPERLINK("http://data.overheid.nl/data/dataset/legger-rijkswaterstaatswerken-waterwet-2-0-vzonering","Legger Rijkswaterstaatswerken Waterwet 2.0 - vZonering")</f>
        <v>Legger Rijkswaterstaatswerken Waterwet 2.0 - vZonering</v>
      </c>
      <c r="D580" s="6" t="s">
        <v>17</v>
      </c>
      <c r="E580" s="5" t="s">
        <v>18</v>
      </c>
      <c r="F580" s="6" t="s">
        <v>813</v>
      </c>
      <c r="G580" s="5" t="s">
        <v>411</v>
      </c>
      <c r="H580" s="6" t="s">
        <v>20</v>
      </c>
      <c r="I580" s="5" t="s">
        <v>21</v>
      </c>
      <c r="J580" s="4" t="s">
        <v>22</v>
      </c>
      <c r="K580" s="2" t="s">
        <v>23</v>
      </c>
      <c r="L580" s="6" t="s">
        <v>24</v>
      </c>
      <c r="M580" s="5" t="s">
        <v>25</v>
      </c>
      <c r="N580" s="3" t="s">
        <v>412</v>
      </c>
      <c r="O580" s="5">
        <v>4</v>
      </c>
      <c r="P580" s="3" t="s">
        <v>23</v>
      </c>
      <c r="Q580" s="5"/>
    </row>
    <row r="581" spans="1:17" ht="186">
      <c r="A581" s="5">
        <v>576</v>
      </c>
      <c r="B581" s="6" t="s">
        <v>16</v>
      </c>
      <c r="C581" s="5" t="str">
        <f>HYPERLINK("http://data.overheid.nl/data/dataset/legger-rijkswaterstaatswerken-waterwet-2-0-vwater","Legger Rijkswaterstaatswerken Waterwet 2.0 - vWater")</f>
        <v>Legger Rijkswaterstaatswerken Waterwet 2.0 - vWater</v>
      </c>
      <c r="D581" s="6" t="s">
        <v>17</v>
      </c>
      <c r="E581" s="5" t="s">
        <v>18</v>
      </c>
      <c r="F581" s="6" t="s">
        <v>813</v>
      </c>
      <c r="G581" s="5" t="s">
        <v>411</v>
      </c>
      <c r="H581" s="6" t="s">
        <v>20</v>
      </c>
      <c r="I581" s="5" t="s">
        <v>21</v>
      </c>
      <c r="J581" s="4" t="s">
        <v>22</v>
      </c>
      <c r="K581" s="2" t="s">
        <v>23</v>
      </c>
      <c r="L581" s="6" t="s">
        <v>24</v>
      </c>
      <c r="M581" s="5" t="s">
        <v>25</v>
      </c>
      <c r="N581" s="3" t="s">
        <v>412</v>
      </c>
      <c r="O581" s="5">
        <v>2</v>
      </c>
      <c r="P581" s="3" t="s">
        <v>23</v>
      </c>
      <c r="Q581" s="5"/>
    </row>
    <row r="582" spans="1:17" ht="186">
      <c r="A582" s="5">
        <v>577</v>
      </c>
      <c r="B582" s="6" t="s">
        <v>16</v>
      </c>
      <c r="C582" s="5" t="str">
        <f>HYPERLINK("http://data.overheid.nl/data/dataset/legger-rijkswaterstaatswerken-waterwet-2-0-vwaterstaatswerk","Legger Rijkswaterstaatswerken Waterwet 2.0 - vWaterstaatsWerk")</f>
        <v>Legger Rijkswaterstaatswerken Waterwet 2.0 - vWaterstaatsWerk</v>
      </c>
      <c r="D582" s="6" t="s">
        <v>17</v>
      </c>
      <c r="E582" s="5" t="s">
        <v>18</v>
      </c>
      <c r="F582" s="6" t="s">
        <v>813</v>
      </c>
      <c r="G582" s="5" t="s">
        <v>411</v>
      </c>
      <c r="H582" s="6" t="s">
        <v>20</v>
      </c>
      <c r="I582" s="5" t="s">
        <v>21</v>
      </c>
      <c r="J582" s="4" t="s">
        <v>22</v>
      </c>
      <c r="K582" s="2" t="s">
        <v>23</v>
      </c>
      <c r="L582" s="6" t="s">
        <v>24</v>
      </c>
      <c r="M582" s="5" t="s">
        <v>25</v>
      </c>
      <c r="N582" s="3" t="s">
        <v>412</v>
      </c>
      <c r="O582" s="5">
        <v>2</v>
      </c>
      <c r="P582" s="3" t="s">
        <v>23</v>
      </c>
      <c r="Q582" s="5"/>
    </row>
    <row r="583" spans="1:17" ht="46.5">
      <c r="A583" s="5">
        <v>578</v>
      </c>
      <c r="B583" s="6" t="s">
        <v>16</v>
      </c>
      <c r="C583" s="5" t="str">
        <f>HYPERLINK("http://data.overheid.nl/data/dataset/locaties-helicopterfotos-20120913","Locaties helicopterfotos 20120913")</f>
        <v>Locaties helicopterfotos 20120913</v>
      </c>
      <c r="D583" s="6" t="s">
        <v>17</v>
      </c>
      <c r="E583" s="5" t="s">
        <v>18</v>
      </c>
      <c r="F583" s="6" t="s">
        <v>813</v>
      </c>
      <c r="G583" s="5" t="s">
        <v>413</v>
      </c>
      <c r="H583" s="6" t="s">
        <v>20</v>
      </c>
      <c r="I583" s="5" t="s">
        <v>21</v>
      </c>
      <c r="J583" s="4" t="s">
        <v>22</v>
      </c>
      <c r="K583" s="2" t="s">
        <v>23</v>
      </c>
      <c r="L583" s="6" t="s">
        <v>24</v>
      </c>
      <c r="M583" s="5" t="s">
        <v>25</v>
      </c>
      <c r="N583" s="3" t="s">
        <v>26</v>
      </c>
      <c r="O583" s="5">
        <v>2</v>
      </c>
      <c r="P583" s="3" t="s">
        <v>23</v>
      </c>
      <c r="Q583" s="5"/>
    </row>
    <row r="584" spans="1:17" ht="31">
      <c r="A584" s="5">
        <v>579</v>
      </c>
      <c r="B584" s="6" t="s">
        <v>16</v>
      </c>
      <c r="C584" s="5" t="str">
        <f>HYPERLINK("http://data.overheid.nl/data/dataset/dordtsche-kil-oversteek-moerdijk-baggervakken-met-randen","Dordtsche Kil, oversteek Moerdijk, baggervakken met randen")</f>
        <v>Dordtsche Kil, oversteek Moerdijk, baggervakken met randen</v>
      </c>
      <c r="D584" s="6" t="s">
        <v>17</v>
      </c>
      <c r="E584" s="5" t="s">
        <v>18</v>
      </c>
      <c r="F584" s="6" t="s">
        <v>813</v>
      </c>
      <c r="G584" s="5" t="s">
        <v>414</v>
      </c>
      <c r="H584" s="6" t="s">
        <v>20</v>
      </c>
      <c r="I584" s="5" t="s">
        <v>21</v>
      </c>
      <c r="J584" s="4" t="s">
        <v>22</v>
      </c>
      <c r="K584" s="2" t="s">
        <v>23</v>
      </c>
      <c r="L584" s="6" t="s">
        <v>24</v>
      </c>
      <c r="M584" s="5" t="s">
        <v>25</v>
      </c>
      <c r="N584" s="3" t="s">
        <v>26</v>
      </c>
      <c r="O584" s="5">
        <v>2</v>
      </c>
      <c r="P584" s="3" t="s">
        <v>23</v>
      </c>
      <c r="Q584" s="5"/>
    </row>
    <row r="585" spans="1:17" ht="409.5">
      <c r="A585" s="5">
        <v>580</v>
      </c>
      <c r="B585" s="6" t="s">
        <v>16</v>
      </c>
      <c r="C585" s="5" t="str">
        <f>HYPERLINK("http://data.overheid.nl/data/dataset/habitatkartering-natura2000-waddenzee","Habitatkartering Natura2000 Waddenzee")</f>
        <v>Habitatkartering Natura2000 Waddenzee</v>
      </c>
      <c r="D585" s="6" t="s">
        <v>17</v>
      </c>
      <c r="E585" s="5" t="s">
        <v>18</v>
      </c>
      <c r="F585" s="6" t="s">
        <v>813</v>
      </c>
      <c r="G585" s="5" t="s">
        <v>415</v>
      </c>
      <c r="H585" s="6" t="s">
        <v>20</v>
      </c>
      <c r="I585" s="5" t="s">
        <v>21</v>
      </c>
      <c r="J585" s="4" t="s">
        <v>22</v>
      </c>
      <c r="K585" s="2" t="s">
        <v>23</v>
      </c>
      <c r="L585" s="6" t="s">
        <v>24</v>
      </c>
      <c r="M585" s="5" t="s">
        <v>25</v>
      </c>
      <c r="N585" s="3" t="s">
        <v>26</v>
      </c>
      <c r="O585" s="5">
        <v>138</v>
      </c>
      <c r="P585" s="3" t="s">
        <v>23</v>
      </c>
      <c r="Q585" s="5"/>
    </row>
    <row r="586" spans="1:17" ht="387.5">
      <c r="A586" s="5">
        <v>581</v>
      </c>
      <c r="B586" s="6" t="s">
        <v>16</v>
      </c>
      <c r="C586" s="5" t="str">
        <f>HYPERLINK("http://data.overheid.nl/data/dataset/habitatkartering-natura2000-noordzeekustzone","Habitatkartering Natura2000 Noordzeekustzone")</f>
        <v>Habitatkartering Natura2000 Noordzeekustzone</v>
      </c>
      <c r="D586" s="6" t="s">
        <v>17</v>
      </c>
      <c r="E586" s="5" t="s">
        <v>18</v>
      </c>
      <c r="F586" s="6" t="s">
        <v>813</v>
      </c>
      <c r="G586" s="5" t="s">
        <v>416</v>
      </c>
      <c r="H586" s="6" t="s">
        <v>28</v>
      </c>
      <c r="I586" s="5" t="s">
        <v>21</v>
      </c>
      <c r="J586" s="4" t="s">
        <v>22</v>
      </c>
      <c r="K586" s="2" t="s">
        <v>23</v>
      </c>
      <c r="L586" s="6" t="s">
        <v>24</v>
      </c>
      <c r="M586" s="5" t="s">
        <v>25</v>
      </c>
      <c r="N586" s="3" t="s">
        <v>26</v>
      </c>
      <c r="O586" s="5">
        <v>102</v>
      </c>
      <c r="P586" s="3" t="s">
        <v>23</v>
      </c>
      <c r="Q586" s="5"/>
    </row>
    <row r="587" spans="1:17" ht="31">
      <c r="A587" s="5">
        <v>582</v>
      </c>
      <c r="B587" s="6" t="s">
        <v>16</v>
      </c>
      <c r="C587" s="5" t="str">
        <f>HYPERLINK("http://data.overheid.nl/data/dataset/luchtfoto-a27-lunetten-hooipolder","Luchtfoto A27 Lunetten-Hooipolder")</f>
        <v>Luchtfoto A27 Lunetten-Hooipolder</v>
      </c>
      <c r="D587" s="6" t="s">
        <v>17</v>
      </c>
      <c r="E587" s="5" t="s">
        <v>18</v>
      </c>
      <c r="F587" s="6" t="s">
        <v>813</v>
      </c>
      <c r="G587" s="5" t="s">
        <v>417</v>
      </c>
      <c r="H587" s="6" t="s">
        <v>20</v>
      </c>
      <c r="I587" s="5" t="s">
        <v>21</v>
      </c>
      <c r="J587" s="4" t="s">
        <v>22</v>
      </c>
      <c r="K587" s="2" t="s">
        <v>23</v>
      </c>
      <c r="L587" s="6" t="s">
        <v>24</v>
      </c>
      <c r="M587" s="5" t="s">
        <v>25</v>
      </c>
      <c r="N587" s="3" t="s">
        <v>26</v>
      </c>
      <c r="O587" s="5">
        <v>2</v>
      </c>
      <c r="P587" s="3" t="s">
        <v>23</v>
      </c>
      <c r="Q587" s="5"/>
    </row>
    <row r="588" spans="1:17" ht="62">
      <c r="A588" s="5">
        <v>583</v>
      </c>
      <c r="B588" s="6" t="s">
        <v>16</v>
      </c>
      <c r="C588" s="5" t="str">
        <f>HYPERLINK("http://data.overheid.nl/data/dataset/rijkswaterstaat-leefomgeving-verwerkers-in-nederland-duitsland-en-vlaanderen","Rijkswaterstaat Leefomgeving - Verwerkers in Nederland, Duitsland en Vlaanderen")</f>
        <v>Rijkswaterstaat Leefomgeving - Verwerkers in Nederland, Duitsland en Vlaanderen</v>
      </c>
      <c r="D588" s="6" t="s">
        <v>17</v>
      </c>
      <c r="E588" s="5" t="s">
        <v>18</v>
      </c>
      <c r="F588" s="6" t="s">
        <v>813</v>
      </c>
      <c r="G588" s="5" t="s">
        <v>418</v>
      </c>
      <c r="H588" s="6" t="s">
        <v>20</v>
      </c>
      <c r="I588" s="5" t="s">
        <v>21</v>
      </c>
      <c r="J588" s="4" t="s">
        <v>22</v>
      </c>
      <c r="K588" s="2" t="s">
        <v>23</v>
      </c>
      <c r="L588" s="6" t="s">
        <v>24</v>
      </c>
      <c r="M588" s="5" t="s">
        <v>25</v>
      </c>
      <c r="N588" s="3" t="s">
        <v>26</v>
      </c>
      <c r="O588" s="5">
        <v>2</v>
      </c>
      <c r="P588" s="3" t="s">
        <v>23</v>
      </c>
      <c r="Q588" s="5"/>
    </row>
    <row r="589" spans="1:17" ht="31">
      <c r="A589" s="5">
        <v>584</v>
      </c>
      <c r="B589" s="6" t="s">
        <v>16</v>
      </c>
      <c r="C589" s="5" t="str">
        <f>HYPERLINK("http://data.overheid.nl/data/dataset/rijkswaterstaat-leefomgeving-verleende-en-geweigerde-verklaringen-grond-baggerspecie","Rijkswaterstaat Leefomgeving - Verleende en geweigerde verklaringen grond baggerspecie")</f>
        <v>Rijkswaterstaat Leefomgeving - Verleende en geweigerde verklaringen grond baggerspecie</v>
      </c>
      <c r="D589" s="6" t="s">
        <v>17</v>
      </c>
      <c r="E589" s="5" t="s">
        <v>18</v>
      </c>
      <c r="F589" s="6" t="s">
        <v>813</v>
      </c>
      <c r="G589" s="5" t="s">
        <v>419</v>
      </c>
      <c r="H589" s="6" t="s">
        <v>20</v>
      </c>
      <c r="I589" s="5" t="s">
        <v>21</v>
      </c>
      <c r="J589" s="4" t="s">
        <v>22</v>
      </c>
      <c r="K589" s="2" t="s">
        <v>23</v>
      </c>
      <c r="L589" s="6" t="s">
        <v>24</v>
      </c>
      <c r="M589" s="5" t="s">
        <v>25</v>
      </c>
      <c r="N589" s="3" t="s">
        <v>26</v>
      </c>
      <c r="O589" s="5">
        <v>2</v>
      </c>
      <c r="P589" s="3" t="s">
        <v>23</v>
      </c>
      <c r="Q589" s="5"/>
    </row>
    <row r="590" spans="1:17" ht="31">
      <c r="A590" s="5">
        <v>585</v>
      </c>
      <c r="B590" s="6" t="s">
        <v>16</v>
      </c>
      <c r="C590" s="5" t="str">
        <f>HYPERLINK("http://data.overheid.nl/data/dataset/rijkswaterstaat-leefomgeving-rekenmodel-nazorg-en-beheer","Rijkswaterstaat Leefomgeving - Rekenmodel Nazorg en Beheer")</f>
        <v>Rijkswaterstaat Leefomgeving - Rekenmodel Nazorg en Beheer</v>
      </c>
      <c r="D590" s="6" t="s">
        <v>17</v>
      </c>
      <c r="E590" s="5" t="s">
        <v>18</v>
      </c>
      <c r="F590" s="6" t="s">
        <v>813</v>
      </c>
      <c r="G590" s="5" t="s">
        <v>420</v>
      </c>
      <c r="H590" s="6" t="s">
        <v>20</v>
      </c>
      <c r="I590" s="5" t="s">
        <v>21</v>
      </c>
      <c r="J590" s="4" t="s">
        <v>22</v>
      </c>
      <c r="K590" s="2" t="s">
        <v>23</v>
      </c>
      <c r="L590" s="6" t="s">
        <v>24</v>
      </c>
      <c r="M590" s="5" t="s">
        <v>25</v>
      </c>
      <c r="N590" s="3" t="s">
        <v>26</v>
      </c>
      <c r="O590" s="5">
        <v>2</v>
      </c>
      <c r="P590" s="3" t="s">
        <v>23</v>
      </c>
      <c r="Q590" s="5"/>
    </row>
    <row r="591" spans="1:17" ht="62">
      <c r="A591" s="5">
        <v>586</v>
      </c>
      <c r="B591" s="6" t="s">
        <v>16</v>
      </c>
      <c r="C591" s="5" t="str">
        <f>HYPERLINK("http://data.overheid.nl/data/dataset/rijkswaterstaat-leefomgeving-overzicht-stortplaatsen-in-nederland","Rijkswaterstaat Leefomgeving - Overzicht stortplaatsen in Nederland")</f>
        <v>Rijkswaterstaat Leefomgeving - Overzicht stortplaatsen in Nederland</v>
      </c>
      <c r="D591" s="6" t="s">
        <v>17</v>
      </c>
      <c r="E591" s="5" t="s">
        <v>18</v>
      </c>
      <c r="F591" s="6" t="s">
        <v>813</v>
      </c>
      <c r="G591" s="5" t="s">
        <v>418</v>
      </c>
      <c r="H591" s="6" t="s">
        <v>20</v>
      </c>
      <c r="I591" s="5" t="s">
        <v>21</v>
      </c>
      <c r="J591" s="4" t="s">
        <v>22</v>
      </c>
      <c r="K591" s="2" t="s">
        <v>23</v>
      </c>
      <c r="L591" s="6" t="s">
        <v>24</v>
      </c>
      <c r="M591" s="5" t="s">
        <v>25</v>
      </c>
      <c r="N591" s="3" t="s">
        <v>26</v>
      </c>
      <c r="O591" s="5">
        <v>2</v>
      </c>
      <c r="P591" s="3" t="s">
        <v>23</v>
      </c>
      <c r="Q591" s="5"/>
    </row>
    <row r="592" spans="1:17" ht="31">
      <c r="A592" s="5">
        <v>587</v>
      </c>
      <c r="B592" s="6" t="s">
        <v>16</v>
      </c>
      <c r="C592" s="5" t="str">
        <f>HYPERLINK("http://data.overheid.nl/data/dataset/rijkswaterstaat-leefomgeving-erkenningen-besluit-bodemkwaliteit","Rijkswaterstaat Leefomgeving - Erkenningen Besluit bodemkwaliteit")</f>
        <v>Rijkswaterstaat Leefomgeving - Erkenningen Besluit bodemkwaliteit</v>
      </c>
      <c r="D592" s="6" t="s">
        <v>17</v>
      </c>
      <c r="E592" s="5" t="s">
        <v>18</v>
      </c>
      <c r="F592" s="6" t="s">
        <v>813</v>
      </c>
      <c r="G592" s="5" t="s">
        <v>421</v>
      </c>
      <c r="H592" s="6" t="s">
        <v>20</v>
      </c>
      <c r="I592" s="5" t="s">
        <v>21</v>
      </c>
      <c r="J592" s="4" t="s">
        <v>22</v>
      </c>
      <c r="K592" s="2" t="s">
        <v>23</v>
      </c>
      <c r="L592" s="6" t="s">
        <v>24</v>
      </c>
      <c r="M592" s="5" t="s">
        <v>25</v>
      </c>
      <c r="N592" s="3" t="s">
        <v>26</v>
      </c>
      <c r="O592" s="5">
        <v>2</v>
      </c>
      <c r="P592" s="3" t="s">
        <v>23</v>
      </c>
      <c r="Q592" s="5"/>
    </row>
    <row r="593" spans="1:17" ht="31">
      <c r="A593" s="5">
        <v>588</v>
      </c>
      <c r="B593" s="6" t="s">
        <v>16</v>
      </c>
      <c r="C593" s="5" t="str">
        <f>HYPERLINK("http://data.overheid.nl/data/dataset/vaste-meetlocaties-rijkswaterstaat-noordzee","Vaste meetlocaties Rijkswaterstaat Noordzee")</f>
        <v>Vaste meetlocaties Rijkswaterstaat Noordzee</v>
      </c>
      <c r="D593" s="6" t="s">
        <v>17</v>
      </c>
      <c r="E593" s="5" t="s">
        <v>18</v>
      </c>
      <c r="F593" s="6" t="s">
        <v>813</v>
      </c>
      <c r="G593" s="5" t="s">
        <v>422</v>
      </c>
      <c r="H593" s="6" t="s">
        <v>20</v>
      </c>
      <c r="I593" s="5" t="s">
        <v>21</v>
      </c>
      <c r="J593" s="4" t="s">
        <v>22</v>
      </c>
      <c r="K593" s="2" t="s">
        <v>23</v>
      </c>
      <c r="L593" s="6" t="s">
        <v>24</v>
      </c>
      <c r="M593" s="5" t="s">
        <v>25</v>
      </c>
      <c r="N593" s="3" t="s">
        <v>26</v>
      </c>
      <c r="O593" s="5">
        <v>2</v>
      </c>
      <c r="P593" s="3" t="s">
        <v>23</v>
      </c>
      <c r="Q593" s="5"/>
    </row>
    <row r="594" spans="1:17" ht="46.5">
      <c r="A594" s="5">
        <v>589</v>
      </c>
      <c r="B594" s="6" t="s">
        <v>16</v>
      </c>
      <c r="C594" s="5" t="str">
        <f>HYPERLINK("http://data.overheid.nl/data/dataset/vaarwegkenmerken-in-nederland-enc-zeeland","Vaarwegkenmerken in Nederland ENC Zeeland")</f>
        <v>Vaarwegkenmerken in Nederland ENC Zeeland</v>
      </c>
      <c r="D594" s="6" t="s">
        <v>17</v>
      </c>
      <c r="E594" s="5" t="s">
        <v>18</v>
      </c>
      <c r="F594" s="6" t="s">
        <v>813</v>
      </c>
      <c r="G594" s="5" t="s">
        <v>423</v>
      </c>
      <c r="H594" s="6" t="s">
        <v>20</v>
      </c>
      <c r="I594" s="5" t="s">
        <v>21</v>
      </c>
      <c r="J594" s="7" t="s">
        <v>38</v>
      </c>
      <c r="K594" s="2" t="s">
        <v>23</v>
      </c>
      <c r="L594" s="6" t="s">
        <v>24</v>
      </c>
      <c r="M594" s="5" t="s">
        <v>25</v>
      </c>
      <c r="N594" s="3" t="s">
        <v>26</v>
      </c>
      <c r="O594" s="5">
        <v>3</v>
      </c>
      <c r="P594" s="3" t="s">
        <v>23</v>
      </c>
      <c r="Q594" s="5"/>
    </row>
    <row r="595" spans="1:17" ht="46.5">
      <c r="A595" s="5">
        <v>590</v>
      </c>
      <c r="B595" s="6" t="s">
        <v>16</v>
      </c>
      <c r="C595" s="5" t="str">
        <f>HYPERLINK("http://data.overheid.nl/data/dataset/vaarwegkenmerken-in-nederland-enc","Vaarwegkenmerken in Nederland ENC")</f>
        <v>Vaarwegkenmerken in Nederland ENC</v>
      </c>
      <c r="D595" s="6" t="s">
        <v>17</v>
      </c>
      <c r="E595" s="5" t="s">
        <v>18</v>
      </c>
      <c r="F595" s="6" t="s">
        <v>813</v>
      </c>
      <c r="G595" s="5" t="s">
        <v>424</v>
      </c>
      <c r="H595" s="6" t="s">
        <v>20</v>
      </c>
      <c r="I595" s="5" t="s">
        <v>21</v>
      </c>
      <c r="J595" s="4" t="s">
        <v>22</v>
      </c>
      <c r="K595" s="2" t="s">
        <v>23</v>
      </c>
      <c r="L595" s="6" t="s">
        <v>24</v>
      </c>
      <c r="M595" s="5" t="s">
        <v>25</v>
      </c>
      <c r="N595" s="3" t="s">
        <v>26</v>
      </c>
      <c r="O595" s="5">
        <v>3</v>
      </c>
      <c r="P595" s="3" t="s">
        <v>23</v>
      </c>
      <c r="Q595" s="5"/>
    </row>
    <row r="596" spans="1:17" ht="46.5">
      <c r="A596" s="5">
        <v>591</v>
      </c>
      <c r="B596" s="6" t="s">
        <v>16</v>
      </c>
      <c r="C596" s="5" t="str">
        <f>HYPERLINK("http://data.overheid.nl/data/dataset/vaarweginformatie-nederland-enc-zeeland","Vaarweginformatie Nederland - ENC Zeeland")</f>
        <v>Vaarweginformatie Nederland - ENC Zeeland</v>
      </c>
      <c r="D596" s="6" t="s">
        <v>17</v>
      </c>
      <c r="E596" s="5" t="s">
        <v>18</v>
      </c>
      <c r="F596" s="6" t="s">
        <v>813</v>
      </c>
      <c r="G596" s="5" t="s">
        <v>423</v>
      </c>
      <c r="H596" s="6" t="s">
        <v>20</v>
      </c>
      <c r="I596" s="5" t="s">
        <v>21</v>
      </c>
      <c r="J596" s="7" t="s">
        <v>38</v>
      </c>
      <c r="K596" s="2" t="s">
        <v>23</v>
      </c>
      <c r="L596" s="6" t="s">
        <v>24</v>
      </c>
      <c r="M596" s="5" t="s">
        <v>25</v>
      </c>
      <c r="N596" s="3" t="s">
        <v>26</v>
      </c>
      <c r="O596" s="5">
        <v>2</v>
      </c>
      <c r="P596" s="3" t="s">
        <v>23</v>
      </c>
      <c r="Q596" s="5"/>
    </row>
    <row r="597" spans="1:17" ht="46.5">
      <c r="A597" s="5">
        <v>592</v>
      </c>
      <c r="B597" s="6" t="s">
        <v>16</v>
      </c>
      <c r="C597" s="5" t="str">
        <f>HYPERLINK("http://data.overheid.nl/data/dataset/vaarweginformatie-nederland-enc","Vaarweginformatie Nederland - ENC")</f>
        <v>Vaarweginformatie Nederland - ENC</v>
      </c>
      <c r="D597" s="6" t="s">
        <v>17</v>
      </c>
      <c r="E597" s="5" t="s">
        <v>18</v>
      </c>
      <c r="F597" s="6" t="s">
        <v>813</v>
      </c>
      <c r="G597" s="5" t="s">
        <v>424</v>
      </c>
      <c r="H597" s="6" t="s">
        <v>20</v>
      </c>
      <c r="I597" s="5" t="s">
        <v>21</v>
      </c>
      <c r="J597" s="4" t="s">
        <v>22</v>
      </c>
      <c r="K597" s="2" t="s">
        <v>23</v>
      </c>
      <c r="L597" s="6" t="s">
        <v>24</v>
      </c>
      <c r="M597" s="5" t="s">
        <v>25</v>
      </c>
      <c r="N597" s="3" t="s">
        <v>26</v>
      </c>
      <c r="O597" s="5">
        <v>2</v>
      </c>
      <c r="P597" s="3" t="s">
        <v>23</v>
      </c>
      <c r="Q597" s="5"/>
    </row>
    <row r="598" spans="1:17" ht="62">
      <c r="A598" s="5">
        <v>593</v>
      </c>
      <c r="B598" s="6" t="s">
        <v>16</v>
      </c>
      <c r="C598" s="5" t="str">
        <f>HYPERLINK("http://data.overheid.nl/data/dataset/hoogtegegevens-kribben-waal-2009","Hoogtegegevens kribben Waal 2009")</f>
        <v>Hoogtegegevens kribben Waal 2009</v>
      </c>
      <c r="D598" s="6" t="s">
        <v>17</v>
      </c>
      <c r="E598" s="5" t="s">
        <v>18</v>
      </c>
      <c r="F598" s="6" t="s">
        <v>813</v>
      </c>
      <c r="G598" s="5" t="s">
        <v>425</v>
      </c>
      <c r="H598" s="6" t="s">
        <v>20</v>
      </c>
      <c r="I598" s="5" t="s">
        <v>21</v>
      </c>
      <c r="J598" s="4" t="s">
        <v>22</v>
      </c>
      <c r="K598" s="2" t="s">
        <v>23</v>
      </c>
      <c r="L598" s="6" t="s">
        <v>24</v>
      </c>
      <c r="M598" s="5" t="s">
        <v>25</v>
      </c>
      <c r="N598" s="3" t="s">
        <v>26</v>
      </c>
      <c r="O598" s="5">
        <v>4</v>
      </c>
      <c r="P598" s="3" t="s">
        <v>23</v>
      </c>
      <c r="Q598" s="5"/>
    </row>
    <row r="599" spans="1:17" ht="279">
      <c r="A599" s="5">
        <v>594</v>
      </c>
      <c r="B599" s="6" t="s">
        <v>16</v>
      </c>
      <c r="C599" s="5" t="str">
        <f>HYPERLINK("http://data.overheid.nl/data/dataset/vegetatiekartering-vegwad-vlakken","Vegetatiekartering VEGWAD vlakken")</f>
        <v>Vegetatiekartering VEGWAD vlakken</v>
      </c>
      <c r="D599" s="6" t="s">
        <v>17</v>
      </c>
      <c r="E599" s="5" t="s">
        <v>18</v>
      </c>
      <c r="F599" s="6" t="s">
        <v>813</v>
      </c>
      <c r="G599" s="5" t="s">
        <v>426</v>
      </c>
      <c r="H599" s="6" t="s">
        <v>20</v>
      </c>
      <c r="I599" s="5" t="s">
        <v>21</v>
      </c>
      <c r="J599" s="4" t="s">
        <v>22</v>
      </c>
      <c r="K599" s="2" t="s">
        <v>23</v>
      </c>
      <c r="L599" s="6" t="s">
        <v>24</v>
      </c>
      <c r="M599" s="5" t="s">
        <v>25</v>
      </c>
      <c r="N599" s="3" t="s">
        <v>26</v>
      </c>
      <c r="O599" s="5">
        <v>367</v>
      </c>
      <c r="P599" s="3" t="s">
        <v>23</v>
      </c>
      <c r="Q599" s="5"/>
    </row>
    <row r="600" spans="1:17" ht="31">
      <c r="A600" s="5">
        <v>595</v>
      </c>
      <c r="B600" s="6" t="s">
        <v>16</v>
      </c>
      <c r="C600" s="5" t="str">
        <f>HYPERLINK("http://data.overheid.nl/data/dataset/waterberichtgeving-klantpagina-rws-zee-en-delta","Waterberichtgeving - Klantpagina RWS Zee en Delta")</f>
        <v>Waterberichtgeving - Klantpagina RWS Zee en Delta</v>
      </c>
      <c r="D600" s="6" t="s">
        <v>17</v>
      </c>
      <c r="E600" s="5" t="s">
        <v>18</v>
      </c>
      <c r="F600" s="6" t="s">
        <v>813</v>
      </c>
      <c r="G600" s="5" t="s">
        <v>427</v>
      </c>
      <c r="H600" s="6" t="s">
        <v>20</v>
      </c>
      <c r="I600" s="5" t="s">
        <v>21</v>
      </c>
      <c r="J600" s="4" t="s">
        <v>22</v>
      </c>
      <c r="K600" s="2" t="s">
        <v>23</v>
      </c>
      <c r="L600" s="6" t="s">
        <v>24</v>
      </c>
      <c r="M600" s="5" t="s">
        <v>25</v>
      </c>
      <c r="N600" s="3" t="s">
        <v>26</v>
      </c>
      <c r="O600" s="5">
        <v>1</v>
      </c>
      <c r="P600" s="3" t="s">
        <v>23</v>
      </c>
      <c r="Q600" s="5"/>
    </row>
    <row r="601" spans="1:17" ht="31">
      <c r="A601" s="5">
        <v>596</v>
      </c>
      <c r="B601" s="6" t="s">
        <v>16</v>
      </c>
      <c r="C601" s="5" t="str">
        <f>HYPERLINK("http://data.overheid.nl/data/dataset/waterberichtgeving-klantpagina-rws-brandaris","Waterberichtgeving - Klantpagina RWS Brandaris")</f>
        <v>Waterberichtgeving - Klantpagina RWS Brandaris</v>
      </c>
      <c r="D601" s="6" t="s">
        <v>17</v>
      </c>
      <c r="E601" s="5" t="s">
        <v>18</v>
      </c>
      <c r="F601" s="6" t="s">
        <v>813</v>
      </c>
      <c r="G601" s="5" t="s">
        <v>428</v>
      </c>
      <c r="H601" s="6" t="s">
        <v>20</v>
      </c>
      <c r="I601" s="5" t="s">
        <v>21</v>
      </c>
      <c r="J601" s="4" t="s">
        <v>22</v>
      </c>
      <c r="K601" s="2" t="s">
        <v>23</v>
      </c>
      <c r="L601" s="6" t="s">
        <v>24</v>
      </c>
      <c r="M601" s="5" t="s">
        <v>25</v>
      </c>
      <c r="N601" s="3" t="s">
        <v>26</v>
      </c>
      <c r="O601" s="5">
        <v>1</v>
      </c>
      <c r="P601" s="3" t="s">
        <v>23</v>
      </c>
      <c r="Q601" s="5"/>
    </row>
    <row r="602" spans="1:17" ht="93">
      <c r="A602" s="5">
        <v>597</v>
      </c>
      <c r="B602" s="6" t="s">
        <v>16</v>
      </c>
      <c r="C602" s="5" t="str">
        <f>HYPERLINK("http://data.overheid.nl/data/dataset/waterberichtgeving-klantpagina-knrm-hollandse-kust-zuid","Waterberichtgeving - Klantpagina KNRM Hollandse kust zuid")</f>
        <v>Waterberichtgeving - Klantpagina KNRM Hollandse kust zuid</v>
      </c>
      <c r="D602" s="6" t="s">
        <v>17</v>
      </c>
      <c r="E602" s="5" t="s">
        <v>18</v>
      </c>
      <c r="F602" s="6" t="s">
        <v>813</v>
      </c>
      <c r="G602" s="5" t="s">
        <v>429</v>
      </c>
      <c r="H602" s="6" t="s">
        <v>20</v>
      </c>
      <c r="I602" s="5" t="s">
        <v>21</v>
      </c>
      <c r="J602" s="4" t="s">
        <v>22</v>
      </c>
      <c r="K602" s="2" t="s">
        <v>23</v>
      </c>
      <c r="L602" s="6" t="s">
        <v>24</v>
      </c>
      <c r="M602" s="5" t="s">
        <v>25</v>
      </c>
      <c r="N602" s="3" t="s">
        <v>26</v>
      </c>
      <c r="O602" s="5">
        <v>1</v>
      </c>
      <c r="P602" s="3" t="s">
        <v>23</v>
      </c>
      <c r="Q602" s="5"/>
    </row>
    <row r="603" spans="1:17" ht="93">
      <c r="A603" s="5">
        <v>598</v>
      </c>
      <c r="B603" s="6" t="s">
        <v>16</v>
      </c>
      <c r="C603" s="5" t="str">
        <f>HYPERLINK("http://data.overheid.nl/data/dataset/waterberichtgeving-klantpagina-knrm-hollandse-kust-noord","Waterberichtgeving - Klantpagina KNRM Hollandse kust noord")</f>
        <v>Waterberichtgeving - Klantpagina KNRM Hollandse kust noord</v>
      </c>
      <c r="D603" s="6" t="s">
        <v>17</v>
      </c>
      <c r="E603" s="5" t="s">
        <v>18</v>
      </c>
      <c r="F603" s="6" t="s">
        <v>813</v>
      </c>
      <c r="G603" s="5" t="s">
        <v>429</v>
      </c>
      <c r="H603" s="6" t="s">
        <v>20</v>
      </c>
      <c r="I603" s="5" t="s">
        <v>21</v>
      </c>
      <c r="J603" s="4" t="s">
        <v>22</v>
      </c>
      <c r="K603" s="2" t="s">
        <v>23</v>
      </c>
      <c r="L603" s="6" t="s">
        <v>24</v>
      </c>
      <c r="M603" s="5" t="s">
        <v>25</v>
      </c>
      <c r="N603" s="3" t="s">
        <v>26</v>
      </c>
      <c r="O603" s="5">
        <v>1</v>
      </c>
      <c r="P603" s="3" t="s">
        <v>23</v>
      </c>
      <c r="Q603" s="5"/>
    </row>
    <row r="604" spans="1:17" ht="93">
      <c r="A604" s="5">
        <v>599</v>
      </c>
      <c r="B604" s="6" t="s">
        <v>16</v>
      </c>
      <c r="C604" s="5" t="str">
        <f>HYPERLINK("http://data.overheid.nl/data/dataset/waterberichtgeving-klantpagina-knrm-ameland","Waterberichtgeving - Klantpagina KNRM Ameland")</f>
        <v>Waterberichtgeving - Klantpagina KNRM Ameland</v>
      </c>
      <c r="D604" s="6" t="s">
        <v>17</v>
      </c>
      <c r="E604" s="5" t="s">
        <v>18</v>
      </c>
      <c r="F604" s="6" t="s">
        <v>813</v>
      </c>
      <c r="G604" s="5" t="s">
        <v>429</v>
      </c>
      <c r="H604" s="6" t="s">
        <v>20</v>
      </c>
      <c r="I604" s="5" t="s">
        <v>21</v>
      </c>
      <c r="J604" s="4" t="s">
        <v>22</v>
      </c>
      <c r="K604" s="2" t="s">
        <v>23</v>
      </c>
      <c r="L604" s="6" t="s">
        <v>24</v>
      </c>
      <c r="M604" s="5" t="s">
        <v>25</v>
      </c>
      <c r="N604" s="3" t="s">
        <v>26</v>
      </c>
      <c r="O604" s="5">
        <v>1</v>
      </c>
      <c r="P604" s="3" t="s">
        <v>23</v>
      </c>
      <c r="Q604" s="5"/>
    </row>
    <row r="605" spans="1:17" ht="77.5">
      <c r="A605" s="5">
        <v>600</v>
      </c>
      <c r="B605" s="6" t="s">
        <v>16</v>
      </c>
      <c r="C605" s="5" t="str">
        <f>HYPERLINK("http://data.overheid.nl/data/dataset/waterberichtgeving-klantpagina-dienst-der-hydrografie","Waterberichtgeving - Klantpagina Dienst der Hydrografie")</f>
        <v>Waterberichtgeving - Klantpagina Dienst der Hydrografie</v>
      </c>
      <c r="D605" s="6" t="s">
        <v>17</v>
      </c>
      <c r="E605" s="5" t="s">
        <v>18</v>
      </c>
      <c r="F605" s="6" t="s">
        <v>813</v>
      </c>
      <c r="G605" s="5" t="s">
        <v>430</v>
      </c>
      <c r="H605" s="6" t="s">
        <v>20</v>
      </c>
      <c r="I605" s="5" t="s">
        <v>21</v>
      </c>
      <c r="J605" s="4" t="s">
        <v>22</v>
      </c>
      <c r="K605" s="2" t="s">
        <v>23</v>
      </c>
      <c r="L605" s="6" t="s">
        <v>24</v>
      </c>
      <c r="M605" s="5" t="s">
        <v>25</v>
      </c>
      <c r="N605" s="3" t="s">
        <v>26</v>
      </c>
      <c r="O605" s="5">
        <v>1</v>
      </c>
      <c r="P605" s="3" t="s">
        <v>23</v>
      </c>
      <c r="Q605" s="5"/>
    </row>
    <row r="606" spans="1:17" ht="155">
      <c r="A606" s="5">
        <v>601</v>
      </c>
      <c r="B606" s="6" t="s">
        <v>16</v>
      </c>
      <c r="C606" s="5" t="str">
        <f>HYPERLINK("http://data.overheid.nl/data/dataset/waterberichtgeving-klantenpagina-wadloopcentrum","Waterberichtgeving - Klantenpagina Wadloopcentrum")</f>
        <v>Waterberichtgeving - Klantenpagina Wadloopcentrum</v>
      </c>
      <c r="D606" s="6" t="s">
        <v>17</v>
      </c>
      <c r="E606" s="5" t="s">
        <v>18</v>
      </c>
      <c r="F606" s="6" t="s">
        <v>813</v>
      </c>
      <c r="G606" s="5" t="s">
        <v>431</v>
      </c>
      <c r="H606" s="6" t="s">
        <v>20</v>
      </c>
      <c r="I606" s="5" t="s">
        <v>21</v>
      </c>
      <c r="J606" s="4" t="s">
        <v>22</v>
      </c>
      <c r="K606" s="2" t="s">
        <v>23</v>
      </c>
      <c r="L606" s="6" t="s">
        <v>24</v>
      </c>
      <c r="M606" s="5" t="s">
        <v>25</v>
      </c>
      <c r="N606" s="3" t="s">
        <v>26</v>
      </c>
      <c r="O606" s="5">
        <v>1</v>
      </c>
      <c r="P606" s="3" t="s">
        <v>23</v>
      </c>
      <c r="Q606" s="5"/>
    </row>
    <row r="607" spans="1:17" ht="31">
      <c r="A607" s="5">
        <v>602</v>
      </c>
      <c r="B607" s="6" t="s">
        <v>16</v>
      </c>
      <c r="C607" s="5" t="str">
        <f>HYPERLINK("http://data.overheid.nl/data/dataset/waterberichtgeving-klantenpagina-knmi","Waterberichtgeving - Klantenpagina KNMI")</f>
        <v>Waterberichtgeving - Klantenpagina KNMI</v>
      </c>
      <c r="D607" s="6" t="s">
        <v>17</v>
      </c>
      <c r="E607" s="5" t="s">
        <v>18</v>
      </c>
      <c r="F607" s="6" t="s">
        <v>813</v>
      </c>
      <c r="G607" s="5" t="s">
        <v>432</v>
      </c>
      <c r="H607" s="6" t="s">
        <v>20</v>
      </c>
      <c r="I607" s="5" t="s">
        <v>21</v>
      </c>
      <c r="J607" s="4" t="s">
        <v>22</v>
      </c>
      <c r="K607" s="2" t="s">
        <v>23</v>
      </c>
      <c r="L607" s="6" t="s">
        <v>24</v>
      </c>
      <c r="M607" s="5" t="s">
        <v>25</v>
      </c>
      <c r="N607" s="3" t="s">
        <v>26</v>
      </c>
      <c r="O607" s="5">
        <v>1</v>
      </c>
      <c r="P607" s="3" t="s">
        <v>23</v>
      </c>
      <c r="Q607" s="5"/>
    </row>
    <row r="608" spans="1:17" ht="46.5">
      <c r="A608" s="5">
        <v>603</v>
      </c>
      <c r="B608" s="6" t="s">
        <v>16</v>
      </c>
      <c r="C608" s="5" t="str">
        <f>HYPERLINK("http://data.overheid.nl/data/dataset/locaties-helicopterfotos-20131202","Locaties helicopterfotos 20131202")</f>
        <v>Locaties helicopterfotos 20131202</v>
      </c>
      <c r="D608" s="6" t="s">
        <v>17</v>
      </c>
      <c r="E608" s="5" t="s">
        <v>18</v>
      </c>
      <c r="F608" s="6" t="s">
        <v>813</v>
      </c>
      <c r="G608" s="5" t="s">
        <v>433</v>
      </c>
      <c r="H608" s="6" t="s">
        <v>20</v>
      </c>
      <c r="I608" s="5" t="s">
        <v>21</v>
      </c>
      <c r="J608" s="4" t="s">
        <v>22</v>
      </c>
      <c r="K608" s="2" t="s">
        <v>23</v>
      </c>
      <c r="L608" s="6" t="s">
        <v>24</v>
      </c>
      <c r="M608" s="5" t="s">
        <v>25</v>
      </c>
      <c r="N608" s="3" t="s">
        <v>26</v>
      </c>
      <c r="O608" s="5">
        <v>2</v>
      </c>
      <c r="P608" s="3" t="s">
        <v>23</v>
      </c>
      <c r="Q608" s="5"/>
    </row>
    <row r="609" spans="1:17" ht="46.5">
      <c r="A609" s="5">
        <v>604</v>
      </c>
      <c r="B609" s="6" t="s">
        <v>16</v>
      </c>
      <c r="C609" s="5" t="str">
        <f>HYPERLINK("http://data.overheid.nl/data/dataset/digitaal-topografisch-bestand-vlakken","Digitaal Topografisch Bestand vlakken")</f>
        <v>Digitaal Topografisch Bestand vlakken</v>
      </c>
      <c r="D609" s="6" t="s">
        <v>17</v>
      </c>
      <c r="E609" s="5" t="s">
        <v>18</v>
      </c>
      <c r="F609" s="6" t="s">
        <v>813</v>
      </c>
      <c r="G609" s="5" t="s">
        <v>434</v>
      </c>
      <c r="H609" s="6" t="s">
        <v>20</v>
      </c>
      <c r="I609" s="5" t="s">
        <v>21</v>
      </c>
      <c r="J609" s="4" t="s">
        <v>22</v>
      </c>
      <c r="K609" s="2" t="s">
        <v>23</v>
      </c>
      <c r="L609" s="6" t="s">
        <v>24</v>
      </c>
      <c r="M609" s="5" t="s">
        <v>25</v>
      </c>
      <c r="N609" s="3" t="s">
        <v>26</v>
      </c>
      <c r="O609" s="5">
        <v>186</v>
      </c>
      <c r="P609" s="3" t="s">
        <v>23</v>
      </c>
      <c r="Q609" s="5"/>
    </row>
    <row r="610" spans="1:17" ht="46.5">
      <c r="A610" s="5">
        <v>605</v>
      </c>
      <c r="B610" s="6" t="s">
        <v>16</v>
      </c>
      <c r="C610" s="5" t="str">
        <f>HYPERLINK("http://data.overheid.nl/data/dataset/digitaal-topografisch-bestand-punten","Digitaal Topografisch Bestand punten")</f>
        <v>Digitaal Topografisch Bestand punten</v>
      </c>
      <c r="D610" s="6" t="s">
        <v>17</v>
      </c>
      <c r="E610" s="5" t="s">
        <v>18</v>
      </c>
      <c r="F610" s="6" t="s">
        <v>813</v>
      </c>
      <c r="G610" s="5" t="s">
        <v>434</v>
      </c>
      <c r="H610" s="6" t="s">
        <v>20</v>
      </c>
      <c r="I610" s="5" t="s">
        <v>21</v>
      </c>
      <c r="J610" s="4" t="s">
        <v>22</v>
      </c>
      <c r="K610" s="2" t="s">
        <v>23</v>
      </c>
      <c r="L610" s="6" t="s">
        <v>24</v>
      </c>
      <c r="M610" s="5" t="s">
        <v>25</v>
      </c>
      <c r="N610" s="3" t="s">
        <v>26</v>
      </c>
      <c r="O610" s="5">
        <v>116</v>
      </c>
      <c r="P610" s="3" t="s">
        <v>23</v>
      </c>
      <c r="Q610" s="5"/>
    </row>
    <row r="611" spans="1:17" ht="46.5">
      <c r="A611" s="5">
        <v>606</v>
      </c>
      <c r="B611" s="6" t="s">
        <v>16</v>
      </c>
      <c r="C611" s="5" t="str">
        <f>HYPERLINK("http://data.overheid.nl/data/dataset/digitaal-topografisch-bestand-lijnen","Digitaal Topografisch Bestand lijnen")</f>
        <v>Digitaal Topografisch Bestand lijnen</v>
      </c>
      <c r="D611" s="6" t="s">
        <v>17</v>
      </c>
      <c r="E611" s="5" t="s">
        <v>18</v>
      </c>
      <c r="F611" s="6" t="s">
        <v>813</v>
      </c>
      <c r="G611" s="5" t="s">
        <v>434</v>
      </c>
      <c r="H611" s="6" t="s">
        <v>20</v>
      </c>
      <c r="I611" s="5" t="s">
        <v>21</v>
      </c>
      <c r="J611" s="4" t="s">
        <v>22</v>
      </c>
      <c r="K611" s="2" t="s">
        <v>23</v>
      </c>
      <c r="L611" s="6" t="s">
        <v>24</v>
      </c>
      <c r="M611" s="5" t="s">
        <v>25</v>
      </c>
      <c r="N611" s="3" t="s">
        <v>26</v>
      </c>
      <c r="O611" s="5">
        <v>116</v>
      </c>
      <c r="P611" s="3" t="s">
        <v>23</v>
      </c>
      <c r="Q611" s="5"/>
    </row>
    <row r="612" spans="1:17" ht="31">
      <c r="A612" s="5">
        <v>607</v>
      </c>
      <c r="B612" s="6" t="s">
        <v>16</v>
      </c>
      <c r="C612" s="5" t="str">
        <f>HYPERLINK("http://data.overheid.nl/data/dataset/rijkswaterstaat-leefomgeving-downloads-bodem-toets-en-validatieservice","Rijkswaterstaat Leefomgeving - Downloads Bodem Toets en Validatieservice")</f>
        <v>Rijkswaterstaat Leefomgeving - Downloads Bodem Toets en Validatieservice</v>
      </c>
      <c r="D612" s="6" t="s">
        <v>17</v>
      </c>
      <c r="E612" s="5" t="s">
        <v>18</v>
      </c>
      <c r="F612" s="6" t="s">
        <v>813</v>
      </c>
      <c r="G612" s="5" t="s">
        <v>435</v>
      </c>
      <c r="H612" s="6" t="s">
        <v>20</v>
      </c>
      <c r="I612" s="5" t="s">
        <v>21</v>
      </c>
      <c r="J612" s="4" t="s">
        <v>22</v>
      </c>
      <c r="K612" s="2" t="s">
        <v>23</v>
      </c>
      <c r="L612" s="6" t="s">
        <v>24</v>
      </c>
      <c r="M612" s="5" t="s">
        <v>25</v>
      </c>
      <c r="N612" s="3" t="s">
        <v>26</v>
      </c>
      <c r="O612" s="5">
        <v>2</v>
      </c>
      <c r="P612" s="3" t="s">
        <v>23</v>
      </c>
      <c r="Q612" s="5"/>
    </row>
    <row r="613" spans="1:17" ht="77.5">
      <c r="A613" s="5">
        <v>608</v>
      </c>
      <c r="B613" s="6" t="s">
        <v>16</v>
      </c>
      <c r="C613" s="5" t="str">
        <f>HYPERLINK("http://data.overheid.nl/data/dataset/helpdesk-water-waterwet","Helpdesk Water - Waterwet")</f>
        <v>Helpdesk Water - Waterwet</v>
      </c>
      <c r="D613" s="6" t="s">
        <v>17</v>
      </c>
      <c r="E613" s="5" t="s">
        <v>18</v>
      </c>
      <c r="F613" s="6" t="s">
        <v>813</v>
      </c>
      <c r="G613" s="5" t="s">
        <v>436</v>
      </c>
      <c r="H613" s="6" t="s">
        <v>20</v>
      </c>
      <c r="I613" s="5" t="s">
        <v>21</v>
      </c>
      <c r="J613" s="4" t="s">
        <v>22</v>
      </c>
      <c r="K613" s="2" t="s">
        <v>23</v>
      </c>
      <c r="L613" s="6" t="s">
        <v>24</v>
      </c>
      <c r="M613" s="5" t="s">
        <v>25</v>
      </c>
      <c r="N613" s="3" t="s">
        <v>26</v>
      </c>
      <c r="O613" s="5">
        <v>2</v>
      </c>
      <c r="P613" s="3" t="s">
        <v>23</v>
      </c>
      <c r="Q613" s="5"/>
    </row>
    <row r="614" spans="1:17" ht="46.5">
      <c r="A614" s="5">
        <v>609</v>
      </c>
      <c r="B614" s="6" t="s">
        <v>16</v>
      </c>
      <c r="C614" s="5" t="str">
        <f>HYPERLINK("http://data.overheid.nl/data/dataset/emissie-registratie-watson-database","Emissie Registratie - WATSON database")</f>
        <v>Emissie Registratie - WATSON database</v>
      </c>
      <c r="D614" s="6" t="s">
        <v>17</v>
      </c>
      <c r="E614" s="5" t="s">
        <v>18</v>
      </c>
      <c r="F614" s="6" t="s">
        <v>813</v>
      </c>
      <c r="G614" s="5" t="s">
        <v>437</v>
      </c>
      <c r="H614" s="6" t="s">
        <v>20</v>
      </c>
      <c r="I614" s="5" t="s">
        <v>21</v>
      </c>
      <c r="J614" s="4" t="s">
        <v>22</v>
      </c>
      <c r="K614" s="2" t="s">
        <v>23</v>
      </c>
      <c r="L614" s="6" t="s">
        <v>24</v>
      </c>
      <c r="M614" s="5" t="s">
        <v>25</v>
      </c>
      <c r="N614" s="3" t="s">
        <v>26</v>
      </c>
      <c r="O614" s="5">
        <v>1</v>
      </c>
      <c r="P614" s="3" t="s">
        <v>23</v>
      </c>
      <c r="Q614" s="5"/>
    </row>
    <row r="615" spans="1:17" ht="77.5">
      <c r="A615" s="5">
        <v>610</v>
      </c>
      <c r="B615" s="6" t="s">
        <v>16</v>
      </c>
      <c r="C615" s="5" t="str">
        <f>HYPERLINK("http://data.overheid.nl/data/dataset/locaties-helicopterfotos-20131111","Locaties helicopterfotos 20131111")</f>
        <v>Locaties helicopterfotos 20131111</v>
      </c>
      <c r="D615" s="6" t="s">
        <v>17</v>
      </c>
      <c r="E615" s="5" t="s">
        <v>18</v>
      </c>
      <c r="F615" s="6" t="s">
        <v>813</v>
      </c>
      <c r="G615" s="5" t="s">
        <v>438</v>
      </c>
      <c r="H615" s="6" t="s">
        <v>28</v>
      </c>
      <c r="I615" s="5" t="s">
        <v>21</v>
      </c>
      <c r="J615" s="4" t="s">
        <v>22</v>
      </c>
      <c r="K615" s="2" t="s">
        <v>23</v>
      </c>
      <c r="L615" s="6" t="s">
        <v>24</v>
      </c>
      <c r="M615" s="5" t="s">
        <v>25</v>
      </c>
      <c r="N615" s="3" t="s">
        <v>26</v>
      </c>
      <c r="O615" s="5">
        <v>2</v>
      </c>
      <c r="P615" s="3" t="s">
        <v>23</v>
      </c>
      <c r="Q615" s="5"/>
    </row>
    <row r="616" spans="1:17" ht="46.5">
      <c r="A616" s="5">
        <v>611</v>
      </c>
      <c r="B616" s="6" t="s">
        <v>16</v>
      </c>
      <c r="C616" s="5" t="str">
        <f>HYPERLINK("http://data.overheid.nl/data/dataset/overzicht-vlieglijnen-kust-2013","Overzicht vlieglijnen kust 2013")</f>
        <v>Overzicht vlieglijnen kust 2013</v>
      </c>
      <c r="D616" s="6" t="s">
        <v>17</v>
      </c>
      <c r="E616" s="5" t="s">
        <v>18</v>
      </c>
      <c r="F616" s="6" t="s">
        <v>813</v>
      </c>
      <c r="G616" s="5" t="s">
        <v>439</v>
      </c>
      <c r="H616" s="6" t="s">
        <v>20</v>
      </c>
      <c r="I616" s="5" t="s">
        <v>21</v>
      </c>
      <c r="J616" s="4" t="s">
        <v>22</v>
      </c>
      <c r="K616" s="2" t="s">
        <v>23</v>
      </c>
      <c r="L616" s="6" t="s">
        <v>24</v>
      </c>
      <c r="M616" s="5" t="s">
        <v>25</v>
      </c>
      <c r="N616" s="3" t="s">
        <v>26</v>
      </c>
      <c r="O616" s="5">
        <v>4</v>
      </c>
      <c r="P616" s="3" t="s">
        <v>23</v>
      </c>
      <c r="Q616" s="5"/>
    </row>
    <row r="617" spans="1:17" ht="46.5">
      <c r="A617" s="5">
        <v>612</v>
      </c>
      <c r="B617" s="6" t="s">
        <v>16</v>
      </c>
      <c r="C617" s="5" t="str">
        <f>HYPERLINK("http://data.overheid.nl/data/dataset/hoogtegegevens-kust-2013","Hoogtegegevens kust 2013")</f>
        <v>Hoogtegegevens kust 2013</v>
      </c>
      <c r="D617" s="6" t="s">
        <v>17</v>
      </c>
      <c r="E617" s="5" t="s">
        <v>18</v>
      </c>
      <c r="F617" s="6" t="s">
        <v>813</v>
      </c>
      <c r="G617" s="5" t="s">
        <v>440</v>
      </c>
      <c r="H617" s="6" t="s">
        <v>20</v>
      </c>
      <c r="I617" s="5" t="s">
        <v>21</v>
      </c>
      <c r="J617" s="4" t="s">
        <v>22</v>
      </c>
      <c r="K617" s="2" t="s">
        <v>23</v>
      </c>
      <c r="L617" s="6" t="s">
        <v>24</v>
      </c>
      <c r="M617" s="5" t="s">
        <v>25</v>
      </c>
      <c r="N617" s="3" t="s">
        <v>26</v>
      </c>
      <c r="O617" s="5">
        <v>4</v>
      </c>
      <c r="P617" s="3" t="s">
        <v>23</v>
      </c>
      <c r="Q617" s="5"/>
    </row>
    <row r="618" spans="1:17" ht="46.5">
      <c r="A618" s="5">
        <v>613</v>
      </c>
      <c r="B618" s="6" t="s">
        <v>16</v>
      </c>
      <c r="C618" s="5" t="str">
        <f>HYPERLINK("http://data.overheid.nl/data/dataset/overzicht-vlieglijnen-kust-2014","Overzicht vlieglijnen kust 2014")</f>
        <v>Overzicht vlieglijnen kust 2014</v>
      </c>
      <c r="D618" s="6" t="s">
        <v>17</v>
      </c>
      <c r="E618" s="5" t="s">
        <v>18</v>
      </c>
      <c r="F618" s="6" t="s">
        <v>813</v>
      </c>
      <c r="G618" s="5" t="s">
        <v>441</v>
      </c>
      <c r="H618" s="6" t="s">
        <v>20</v>
      </c>
      <c r="I618" s="5" t="s">
        <v>21</v>
      </c>
      <c r="J618" s="4" t="s">
        <v>22</v>
      </c>
      <c r="K618" s="2" t="s">
        <v>23</v>
      </c>
      <c r="L618" s="6" t="s">
        <v>24</v>
      </c>
      <c r="M618" s="5" t="s">
        <v>25</v>
      </c>
      <c r="N618" s="3" t="s">
        <v>26</v>
      </c>
      <c r="O618" s="5">
        <v>4</v>
      </c>
      <c r="P618" s="3" t="s">
        <v>23</v>
      </c>
      <c r="Q618" s="5"/>
    </row>
    <row r="619" spans="1:17" ht="46.5">
      <c r="A619" s="5">
        <v>614</v>
      </c>
      <c r="B619" s="6" t="s">
        <v>16</v>
      </c>
      <c r="C619" s="5" t="str">
        <f>HYPERLINK("http://data.overheid.nl/data/dataset/hoogtegegevens-kust-2014","Hoogtegegevens kust 2014")</f>
        <v>Hoogtegegevens kust 2014</v>
      </c>
      <c r="D619" s="6" t="s">
        <v>17</v>
      </c>
      <c r="E619" s="5" t="s">
        <v>18</v>
      </c>
      <c r="F619" s="6" t="s">
        <v>813</v>
      </c>
      <c r="G619" s="5" t="s">
        <v>442</v>
      </c>
      <c r="H619" s="6" t="s">
        <v>20</v>
      </c>
      <c r="I619" s="5" t="s">
        <v>21</v>
      </c>
      <c r="J619" s="4" t="s">
        <v>22</v>
      </c>
      <c r="K619" s="2" t="s">
        <v>23</v>
      </c>
      <c r="L619" s="6" t="s">
        <v>24</v>
      </c>
      <c r="M619" s="5" t="s">
        <v>25</v>
      </c>
      <c r="N619" s="3" t="s">
        <v>26</v>
      </c>
      <c r="O619" s="5">
        <v>4</v>
      </c>
      <c r="P619" s="3" t="s">
        <v>23</v>
      </c>
      <c r="Q619" s="5"/>
    </row>
    <row r="620" spans="1:17" ht="46.5">
      <c r="A620" s="5">
        <v>615</v>
      </c>
      <c r="B620" s="6" t="s">
        <v>16</v>
      </c>
      <c r="C620" s="5" t="str">
        <f>HYPERLINK("http://data.overheid.nl/data/dataset/locaties-helicopterfotos-20140611","Locaties helicopterfotos 20140611")</f>
        <v>Locaties helicopterfotos 20140611</v>
      </c>
      <c r="D620" s="6" t="s">
        <v>17</v>
      </c>
      <c r="E620" s="5" t="s">
        <v>18</v>
      </c>
      <c r="F620" s="6" t="s">
        <v>813</v>
      </c>
      <c r="G620" s="5" t="s">
        <v>443</v>
      </c>
      <c r="H620" s="6" t="s">
        <v>20</v>
      </c>
      <c r="I620" s="5" t="s">
        <v>21</v>
      </c>
      <c r="J620" s="4" t="s">
        <v>22</v>
      </c>
      <c r="K620" s="2" t="s">
        <v>23</v>
      </c>
      <c r="L620" s="6" t="s">
        <v>24</v>
      </c>
      <c r="M620" s="5" t="s">
        <v>25</v>
      </c>
      <c r="N620" s="3" t="s">
        <v>26</v>
      </c>
      <c r="O620" s="5">
        <v>2</v>
      </c>
      <c r="P620" s="3" t="s">
        <v>23</v>
      </c>
      <c r="Q620" s="5"/>
    </row>
    <row r="621" spans="1:17" ht="31">
      <c r="A621" s="5">
        <v>616</v>
      </c>
      <c r="B621" s="6" t="s">
        <v>16</v>
      </c>
      <c r="C621" s="5" t="str">
        <f>HYPERLINK("http://data.overheid.nl/data/dataset/actuele-helicopterfoto-s-noord-brabant","Actuele helicopterfoto's Noord-Brabant")</f>
        <v>Actuele helicopterfoto's Noord-Brabant</v>
      </c>
      <c r="D621" s="6" t="s">
        <v>17</v>
      </c>
      <c r="E621" s="5" t="s">
        <v>18</v>
      </c>
      <c r="F621" s="6" t="s">
        <v>813</v>
      </c>
      <c r="G621" s="5" t="s">
        <v>444</v>
      </c>
      <c r="H621" s="6" t="s">
        <v>20</v>
      </c>
      <c r="I621" s="5" t="s">
        <v>21</v>
      </c>
      <c r="J621" s="4" t="s">
        <v>22</v>
      </c>
      <c r="K621" s="2" t="s">
        <v>23</v>
      </c>
      <c r="L621" s="6" t="s">
        <v>24</v>
      </c>
      <c r="M621" s="5" t="s">
        <v>25</v>
      </c>
      <c r="N621" s="3" t="s">
        <v>26</v>
      </c>
      <c r="O621" s="5">
        <v>2</v>
      </c>
      <c r="P621" s="3" t="s">
        <v>23</v>
      </c>
      <c r="Q621" s="5"/>
    </row>
    <row r="622" spans="1:17" ht="170.5">
      <c r="A622" s="5">
        <v>617</v>
      </c>
      <c r="B622" s="6" t="s">
        <v>16</v>
      </c>
      <c r="C622" s="5" t="str">
        <f>HYPERLINK("http://data.overheid.nl/data/dataset/audit-faunavoorzieningen-noord-brabant-2012","Audit faunavoorzieningen Noord-Brabant 2012")</f>
        <v>Audit faunavoorzieningen Noord-Brabant 2012</v>
      </c>
      <c r="D622" s="6" t="s">
        <v>17</v>
      </c>
      <c r="E622" s="5" t="s">
        <v>18</v>
      </c>
      <c r="F622" s="6" t="s">
        <v>813</v>
      </c>
      <c r="G622" s="5" t="s">
        <v>445</v>
      </c>
      <c r="H622" s="6" t="s">
        <v>20</v>
      </c>
      <c r="I622" s="5" t="s">
        <v>21</v>
      </c>
      <c r="J622" s="4" t="s">
        <v>22</v>
      </c>
      <c r="K622" s="2" t="s">
        <v>23</v>
      </c>
      <c r="L622" s="6" t="s">
        <v>24</v>
      </c>
      <c r="M622" s="5" t="s">
        <v>25</v>
      </c>
      <c r="N622" s="3" t="s">
        <v>26</v>
      </c>
      <c r="O622" s="5">
        <v>2</v>
      </c>
      <c r="P622" s="3" t="s">
        <v>23</v>
      </c>
      <c r="Q622" s="5"/>
    </row>
    <row r="623" spans="1:17" ht="62">
      <c r="A623" s="5">
        <v>618</v>
      </c>
      <c r="B623" s="6" t="s">
        <v>16</v>
      </c>
      <c r="C623" s="5" t="str">
        <f>HYPERLINK("http://data.overheid.nl/data/dataset/locaties-helicopterfotos-11-2009","Locaties helicopterfotos 11-2009")</f>
        <v>Locaties helicopterfotos 11-2009</v>
      </c>
      <c r="D623" s="6" t="s">
        <v>17</v>
      </c>
      <c r="E623" s="5" t="s">
        <v>18</v>
      </c>
      <c r="F623" s="6" t="s">
        <v>813</v>
      </c>
      <c r="G623" s="5" t="s">
        <v>446</v>
      </c>
      <c r="H623" s="6" t="s">
        <v>20</v>
      </c>
      <c r="I623" s="5" t="s">
        <v>21</v>
      </c>
      <c r="J623" s="4" t="s">
        <v>22</v>
      </c>
      <c r="K623" s="2" t="s">
        <v>23</v>
      </c>
      <c r="L623" s="6" t="s">
        <v>24</v>
      </c>
      <c r="M623" s="5" t="s">
        <v>25</v>
      </c>
      <c r="N623" s="3" t="s">
        <v>26</v>
      </c>
      <c r="O623" s="5">
        <v>2</v>
      </c>
      <c r="P623" s="3" t="s">
        <v>23</v>
      </c>
      <c r="Q623" s="5"/>
    </row>
    <row r="624" spans="1:17" ht="46.5">
      <c r="A624" s="5">
        <v>619</v>
      </c>
      <c r="B624" s="6" t="s">
        <v>16</v>
      </c>
      <c r="C624" s="5" t="str">
        <f>HYPERLINK("http://data.overheid.nl/data/dataset/v-schiemonnikoog-2010-ecw","v_Schiemonnikoog_2010.ecw")</f>
        <v>v_Schiemonnikoog_2010.ecw</v>
      </c>
      <c r="D624" s="6" t="s">
        <v>17</v>
      </c>
      <c r="E624" s="5" t="s">
        <v>18</v>
      </c>
      <c r="F624" s="6" t="s">
        <v>813</v>
      </c>
      <c r="G624" s="5" t="s">
        <v>447</v>
      </c>
      <c r="H624" s="6" t="s">
        <v>20</v>
      </c>
      <c r="I624" s="5" t="s">
        <v>21</v>
      </c>
      <c r="J624" s="4" t="s">
        <v>22</v>
      </c>
      <c r="K624" s="2" t="s">
        <v>23</v>
      </c>
      <c r="L624" s="6" t="s">
        <v>24</v>
      </c>
      <c r="M624" s="5" t="s">
        <v>25</v>
      </c>
      <c r="N624" s="3" t="s">
        <v>26</v>
      </c>
      <c r="O624" s="5">
        <v>2</v>
      </c>
      <c r="P624" s="3" t="s">
        <v>23</v>
      </c>
      <c r="Q624" s="5"/>
    </row>
    <row r="625" spans="1:17" ht="46.5">
      <c r="A625" s="5">
        <v>620</v>
      </c>
      <c r="B625" s="6" t="s">
        <v>16</v>
      </c>
      <c r="C625" s="5" t="str">
        <f>HYPERLINK("http://data.overheid.nl/data/dataset/v-rottum-2010-ecw","v_Rottum_2010.ecw")</f>
        <v>v_Rottum_2010.ecw</v>
      </c>
      <c r="D625" s="6" t="s">
        <v>17</v>
      </c>
      <c r="E625" s="5" t="s">
        <v>18</v>
      </c>
      <c r="F625" s="6" t="s">
        <v>813</v>
      </c>
      <c r="G625" s="5" t="s">
        <v>448</v>
      </c>
      <c r="H625" s="6" t="s">
        <v>20</v>
      </c>
      <c r="I625" s="5" t="s">
        <v>21</v>
      </c>
      <c r="J625" s="4" t="s">
        <v>22</v>
      </c>
      <c r="K625" s="2" t="s">
        <v>23</v>
      </c>
      <c r="L625" s="6" t="s">
        <v>24</v>
      </c>
      <c r="M625" s="5" t="s">
        <v>25</v>
      </c>
      <c r="N625" s="3" t="s">
        <v>26</v>
      </c>
      <c r="O625" s="5">
        <v>2</v>
      </c>
      <c r="P625" s="3" t="s">
        <v>23</v>
      </c>
      <c r="Q625" s="5"/>
    </row>
    <row r="626" spans="1:17" ht="31">
      <c r="A626" s="5">
        <v>621</v>
      </c>
      <c r="B626" s="6" t="s">
        <v>16</v>
      </c>
      <c r="C626" s="5" t="str">
        <f>HYPERLINK("http://data.overheid.nl/data/dataset/locaties-helicopterfotos-11-2008","Locaties helicopterfotos 11-2008")</f>
        <v>Locaties helicopterfotos 11-2008</v>
      </c>
      <c r="D626" s="6" t="s">
        <v>17</v>
      </c>
      <c r="E626" s="5" t="s">
        <v>18</v>
      </c>
      <c r="F626" s="6" t="s">
        <v>813</v>
      </c>
      <c r="G626" s="5" t="s">
        <v>449</v>
      </c>
      <c r="H626" s="6" t="s">
        <v>20</v>
      </c>
      <c r="I626" s="5" t="s">
        <v>21</v>
      </c>
      <c r="J626" s="4" t="s">
        <v>22</v>
      </c>
      <c r="K626" s="2" t="s">
        <v>23</v>
      </c>
      <c r="L626" s="6" t="s">
        <v>24</v>
      </c>
      <c r="M626" s="5" t="s">
        <v>25</v>
      </c>
      <c r="N626" s="3" t="s">
        <v>26</v>
      </c>
      <c r="O626" s="5">
        <v>2</v>
      </c>
      <c r="P626" s="3" t="s">
        <v>23</v>
      </c>
      <c r="Q626" s="5"/>
    </row>
    <row r="627" spans="1:17" ht="46.5">
      <c r="A627" s="5">
        <v>622</v>
      </c>
      <c r="B627" s="6" t="s">
        <v>16</v>
      </c>
      <c r="C627" s="5" t="str">
        <f>HYPERLINK("http://data.overheid.nl/data/dataset/v-terschelling-vlieland-2015-ecw","v_Terschelling_Vlieland_2015.ecw")</f>
        <v>v_Terschelling_Vlieland_2015.ecw</v>
      </c>
      <c r="D627" s="6" t="s">
        <v>17</v>
      </c>
      <c r="E627" s="5" t="s">
        <v>18</v>
      </c>
      <c r="F627" s="6" t="s">
        <v>813</v>
      </c>
      <c r="G627" s="5" t="s">
        <v>450</v>
      </c>
      <c r="H627" s="6" t="s">
        <v>20</v>
      </c>
      <c r="I627" s="5" t="s">
        <v>21</v>
      </c>
      <c r="J627" s="4" t="s">
        <v>22</v>
      </c>
      <c r="K627" s="2" t="s">
        <v>23</v>
      </c>
      <c r="L627" s="6" t="s">
        <v>24</v>
      </c>
      <c r="M627" s="5" t="s">
        <v>25</v>
      </c>
      <c r="N627" s="3" t="s">
        <v>26</v>
      </c>
      <c r="O627" s="5">
        <v>4</v>
      </c>
      <c r="P627" s="3" t="s">
        <v>23</v>
      </c>
      <c r="Q627" s="5"/>
    </row>
    <row r="628" spans="1:17" ht="93">
      <c r="A628" s="5">
        <v>623</v>
      </c>
      <c r="B628" s="6" t="s">
        <v>16</v>
      </c>
      <c r="C628" s="5" t="str">
        <f>HYPERLINK("http://data.overheid.nl/data/dataset/talud-natuur-vriendelijke-oevers-maas-2011-lijn","Talud natuur vriendelijke oevers Maas 2011 lijn")</f>
        <v>Talud natuur vriendelijke oevers Maas 2011 lijn</v>
      </c>
      <c r="D628" s="6" t="s">
        <v>17</v>
      </c>
      <c r="E628" s="5" t="s">
        <v>18</v>
      </c>
      <c r="F628" s="6" t="s">
        <v>813</v>
      </c>
      <c r="G628" s="5" t="s">
        <v>451</v>
      </c>
      <c r="H628" s="6" t="s">
        <v>20</v>
      </c>
      <c r="I628" s="5" t="s">
        <v>21</v>
      </c>
      <c r="J628" s="4" t="s">
        <v>22</v>
      </c>
      <c r="K628" s="2" t="s">
        <v>23</v>
      </c>
      <c r="L628" s="6" t="s">
        <v>24</v>
      </c>
      <c r="M628" s="5" t="s">
        <v>25</v>
      </c>
      <c r="N628" s="3" t="s">
        <v>26</v>
      </c>
      <c r="O628" s="5">
        <v>2</v>
      </c>
      <c r="P628" s="3" t="s">
        <v>23</v>
      </c>
      <c r="Q628" s="5"/>
    </row>
    <row r="629" spans="1:17" ht="93">
      <c r="A629" s="5">
        <v>624</v>
      </c>
      <c r="B629" s="6" t="s">
        <v>16</v>
      </c>
      <c r="C629" s="5" t="str">
        <f>HYPERLINK("http://data.overheid.nl/data/dataset/talud-natuur-vriendelijke-oevers-maas-2010-lijn","Talud natuur vriendelijke oevers Maas 2010 lijn")</f>
        <v>Talud natuur vriendelijke oevers Maas 2010 lijn</v>
      </c>
      <c r="D629" s="6" t="s">
        <v>17</v>
      </c>
      <c r="E629" s="5" t="s">
        <v>18</v>
      </c>
      <c r="F629" s="6" t="s">
        <v>813</v>
      </c>
      <c r="G629" s="5" t="s">
        <v>451</v>
      </c>
      <c r="H629" s="6" t="s">
        <v>20</v>
      </c>
      <c r="I629" s="5" t="s">
        <v>21</v>
      </c>
      <c r="J629" s="4" t="s">
        <v>22</v>
      </c>
      <c r="K629" s="2" t="s">
        <v>23</v>
      </c>
      <c r="L629" s="6" t="s">
        <v>24</v>
      </c>
      <c r="M629" s="5" t="s">
        <v>25</v>
      </c>
      <c r="N629" s="3" t="s">
        <v>26</v>
      </c>
      <c r="O629" s="5">
        <v>2</v>
      </c>
      <c r="P629" s="3" t="s">
        <v>23</v>
      </c>
      <c r="Q629" s="5"/>
    </row>
    <row r="630" spans="1:17" ht="93">
      <c r="A630" s="5">
        <v>625</v>
      </c>
      <c r="B630" s="6" t="s">
        <v>16</v>
      </c>
      <c r="C630" s="5" t="str">
        <f>HYPERLINK("http://data.overheid.nl/data/dataset/talud-natuur-vriendelijke-oevers-maas-2009-lijn","Talud natuur vriendelijke oevers Maas 2009 lijn")</f>
        <v>Talud natuur vriendelijke oevers Maas 2009 lijn</v>
      </c>
      <c r="D630" s="6" t="s">
        <v>17</v>
      </c>
      <c r="E630" s="5" t="s">
        <v>18</v>
      </c>
      <c r="F630" s="6" t="s">
        <v>813</v>
      </c>
      <c r="G630" s="5" t="s">
        <v>451</v>
      </c>
      <c r="H630" s="6" t="s">
        <v>20</v>
      </c>
      <c r="I630" s="5" t="s">
        <v>21</v>
      </c>
      <c r="J630" s="4" t="s">
        <v>22</v>
      </c>
      <c r="K630" s="2" t="s">
        <v>23</v>
      </c>
      <c r="L630" s="6" t="s">
        <v>24</v>
      </c>
      <c r="M630" s="5" t="s">
        <v>25</v>
      </c>
      <c r="N630" s="3" t="s">
        <v>26</v>
      </c>
      <c r="O630" s="5">
        <v>2</v>
      </c>
      <c r="P630" s="3" t="s">
        <v>23</v>
      </c>
      <c r="Q630" s="5"/>
    </row>
    <row r="631" spans="1:17" ht="93">
      <c r="A631" s="5">
        <v>626</v>
      </c>
      <c r="B631" s="6" t="s">
        <v>16</v>
      </c>
      <c r="C631" s="5" t="str">
        <f>HYPERLINK("http://data.overheid.nl/data/dataset/structuur-natuur-vriendelijke-oevers-maas2009-vlak","Structuur natuur vriendelijke oevers Maas2009 vlak")</f>
        <v>Structuur natuur vriendelijke oevers Maas2009 vlak</v>
      </c>
      <c r="D631" s="6" t="s">
        <v>17</v>
      </c>
      <c r="E631" s="5" t="s">
        <v>18</v>
      </c>
      <c r="F631" s="6" t="s">
        <v>813</v>
      </c>
      <c r="G631" s="5" t="s">
        <v>451</v>
      </c>
      <c r="H631" s="6" t="s">
        <v>20</v>
      </c>
      <c r="I631" s="5" t="s">
        <v>21</v>
      </c>
      <c r="J631" s="4" t="s">
        <v>22</v>
      </c>
      <c r="K631" s="2" t="s">
        <v>23</v>
      </c>
      <c r="L631" s="6" t="s">
        <v>24</v>
      </c>
      <c r="M631" s="5" t="s">
        <v>25</v>
      </c>
      <c r="N631" s="3" t="s">
        <v>26</v>
      </c>
      <c r="O631" s="5">
        <v>2</v>
      </c>
      <c r="P631" s="3" t="s">
        <v>23</v>
      </c>
      <c r="Q631" s="5"/>
    </row>
    <row r="632" spans="1:17" ht="93">
      <c r="A632" s="5">
        <v>627</v>
      </c>
      <c r="B632" s="6" t="s">
        <v>16</v>
      </c>
      <c r="C632" s="5" t="str">
        <f>HYPERLINK("http://data.overheid.nl/data/dataset/natuur-vriendelijke-oevers-maas-steilrand-2009-lijn","Natuur vriendelijke oevers Maas - steilrand 2009 lijn")</f>
        <v>Natuur vriendelijke oevers Maas - steilrand 2009 lijn</v>
      </c>
      <c r="D632" s="6" t="s">
        <v>17</v>
      </c>
      <c r="E632" s="5" t="s">
        <v>18</v>
      </c>
      <c r="F632" s="6" t="s">
        <v>813</v>
      </c>
      <c r="G632" s="5" t="s">
        <v>451</v>
      </c>
      <c r="H632" s="6" t="s">
        <v>20</v>
      </c>
      <c r="I632" s="5" t="s">
        <v>21</v>
      </c>
      <c r="J632" s="4" t="s">
        <v>22</v>
      </c>
      <c r="K632" s="2" t="s">
        <v>23</v>
      </c>
      <c r="L632" s="6" t="s">
        <v>24</v>
      </c>
      <c r="M632" s="5" t="s">
        <v>25</v>
      </c>
      <c r="N632" s="3" t="s">
        <v>26</v>
      </c>
      <c r="O632" s="5">
        <v>2</v>
      </c>
      <c r="P632" s="3" t="s">
        <v>23</v>
      </c>
      <c r="Q632" s="5"/>
    </row>
    <row r="633" spans="1:17" ht="31">
      <c r="A633" s="5">
        <v>628</v>
      </c>
      <c r="B633" s="6" t="s">
        <v>16</v>
      </c>
      <c r="C633" s="5" t="str">
        <f>HYPERLINK("http://data.overheid.nl/data/dataset/databestand-grootschalig-verkeersonderzoek-personenauto-s-randstad-2014","Databestand Grootschalig Verkeersonderzoek Personenauto's Randstad 2014")</f>
        <v>Databestand Grootschalig Verkeersonderzoek Personenauto's Randstad 2014</v>
      </c>
      <c r="D633" s="6" t="s">
        <v>17</v>
      </c>
      <c r="E633" s="5" t="s">
        <v>18</v>
      </c>
      <c r="F633" s="6" t="s">
        <v>813</v>
      </c>
      <c r="G633" s="5" t="s">
        <v>452</v>
      </c>
      <c r="H633" s="6" t="s">
        <v>20</v>
      </c>
      <c r="I633" s="5" t="s">
        <v>21</v>
      </c>
      <c r="J633" s="4" t="s">
        <v>22</v>
      </c>
      <c r="K633" s="2" t="s">
        <v>23</v>
      </c>
      <c r="L633" s="6" t="s">
        <v>24</v>
      </c>
      <c r="M633" s="5" t="s">
        <v>25</v>
      </c>
      <c r="N633" s="3" t="s">
        <v>26</v>
      </c>
      <c r="O633" s="5">
        <v>2</v>
      </c>
      <c r="P633" s="3" t="s">
        <v>23</v>
      </c>
      <c r="Q633" s="5"/>
    </row>
    <row r="634" spans="1:17" ht="93">
      <c r="A634" s="5">
        <v>629</v>
      </c>
      <c r="B634" s="6" t="s">
        <v>16</v>
      </c>
      <c r="C634" s="5" t="str">
        <f>HYPERLINK("http://data.overheid.nl/data/dataset/locaties-helicopterfotos-20100310","Locaties helicopterfotos 20100310")</f>
        <v>Locaties helicopterfotos 20100310</v>
      </c>
      <c r="D634" s="6" t="s">
        <v>17</v>
      </c>
      <c r="E634" s="5" t="s">
        <v>18</v>
      </c>
      <c r="F634" s="6" t="s">
        <v>813</v>
      </c>
      <c r="G634" s="5" t="s">
        <v>453</v>
      </c>
      <c r="H634" s="6" t="s">
        <v>20</v>
      </c>
      <c r="I634" s="5" t="s">
        <v>21</v>
      </c>
      <c r="J634" s="4" t="s">
        <v>22</v>
      </c>
      <c r="K634" s="2" t="s">
        <v>23</v>
      </c>
      <c r="L634" s="6" t="s">
        <v>24</v>
      </c>
      <c r="M634" s="5" t="s">
        <v>25</v>
      </c>
      <c r="N634" s="3" t="s">
        <v>26</v>
      </c>
      <c r="O634" s="5">
        <v>2</v>
      </c>
      <c r="P634" s="3" t="s">
        <v>23</v>
      </c>
      <c r="Q634" s="5"/>
    </row>
    <row r="635" spans="1:17" ht="31">
      <c r="A635" s="5">
        <v>630</v>
      </c>
      <c r="B635" s="6" t="s">
        <v>16</v>
      </c>
      <c r="C635" s="5" t="str">
        <f>HYPERLINK("http://data.overheid.nl/data/dataset/locaties-helicopterfotos-12-2008","Locaties helicopterfotos 12-2008")</f>
        <v>Locaties helicopterfotos 12-2008</v>
      </c>
      <c r="D635" s="6" t="s">
        <v>17</v>
      </c>
      <c r="E635" s="5" t="s">
        <v>18</v>
      </c>
      <c r="F635" s="6" t="s">
        <v>813</v>
      </c>
      <c r="G635" s="5" t="s">
        <v>454</v>
      </c>
      <c r="H635" s="6" t="s">
        <v>20</v>
      </c>
      <c r="I635" s="5" t="s">
        <v>21</v>
      </c>
      <c r="J635" s="4" t="s">
        <v>22</v>
      </c>
      <c r="K635" s="2" t="s">
        <v>23</v>
      </c>
      <c r="L635" s="6" t="s">
        <v>24</v>
      </c>
      <c r="M635" s="5" t="s">
        <v>25</v>
      </c>
      <c r="N635" s="3" t="s">
        <v>26</v>
      </c>
      <c r="O635" s="5">
        <v>2</v>
      </c>
      <c r="P635" s="3" t="s">
        <v>23</v>
      </c>
      <c r="Q635" s="5"/>
    </row>
    <row r="636" spans="1:17" ht="46.5">
      <c r="A636" s="5">
        <v>631</v>
      </c>
      <c r="B636" s="6" t="s">
        <v>16</v>
      </c>
      <c r="C636" s="5" t="str">
        <f>HYPERLINK("http://data.overheid.nl/data/dataset/hoogtegegevens-kribben-ijssel-nederrijn-2009","Hoogtegegevens kribben IJssel-Nederrijn 2009")</f>
        <v>Hoogtegegevens kribben IJssel-Nederrijn 2009</v>
      </c>
      <c r="D636" s="6" t="s">
        <v>17</v>
      </c>
      <c r="E636" s="5" t="s">
        <v>18</v>
      </c>
      <c r="F636" s="6" t="s">
        <v>813</v>
      </c>
      <c r="G636" s="5" t="s">
        <v>455</v>
      </c>
      <c r="H636" s="6" t="s">
        <v>20</v>
      </c>
      <c r="I636" s="5" t="s">
        <v>21</v>
      </c>
      <c r="J636" s="4" t="s">
        <v>22</v>
      </c>
      <c r="K636" s="2" t="s">
        <v>23</v>
      </c>
      <c r="L636" s="6" t="s">
        <v>24</v>
      </c>
      <c r="M636" s="5" t="s">
        <v>25</v>
      </c>
      <c r="N636" s="3" t="s">
        <v>26</v>
      </c>
      <c r="O636" s="5">
        <v>2</v>
      </c>
      <c r="P636" s="3" t="s">
        <v>23</v>
      </c>
      <c r="Q636" s="5"/>
    </row>
    <row r="637" spans="1:17" ht="46.5">
      <c r="A637" s="5">
        <v>632</v>
      </c>
      <c r="B637" s="6" t="s">
        <v>16</v>
      </c>
      <c r="C637" s="5" t="str">
        <f>HYPERLINK("http://data.overheid.nl/data/dataset/locaties-helicopterfotos-20130909","Locaties helicopterfotos 20130909")</f>
        <v>Locaties helicopterfotos 20130909</v>
      </c>
      <c r="D637" s="6" t="s">
        <v>17</v>
      </c>
      <c r="E637" s="5" t="s">
        <v>18</v>
      </c>
      <c r="F637" s="6" t="s">
        <v>813</v>
      </c>
      <c r="G637" s="5" t="s">
        <v>456</v>
      </c>
      <c r="H637" s="6" t="s">
        <v>20</v>
      </c>
      <c r="I637" s="5" t="s">
        <v>21</v>
      </c>
      <c r="J637" s="4" t="s">
        <v>22</v>
      </c>
      <c r="K637" s="2" t="s">
        <v>23</v>
      </c>
      <c r="L637" s="6" t="s">
        <v>24</v>
      </c>
      <c r="M637" s="5" t="s">
        <v>25</v>
      </c>
      <c r="N637" s="3" t="s">
        <v>26</v>
      </c>
      <c r="O637" s="5">
        <v>2</v>
      </c>
      <c r="P637" s="3" t="s">
        <v>23</v>
      </c>
      <c r="Q637" s="5"/>
    </row>
    <row r="638" spans="1:17" ht="31">
      <c r="A638" s="5">
        <v>633</v>
      </c>
      <c r="B638" s="6" t="s">
        <v>16</v>
      </c>
      <c r="C638" s="5" t="str">
        <f>HYPERLINK("http://data.overheid.nl/data/dataset/watervoorzieningsgebieden","Watervoorzieningsgebieden")</f>
        <v>Watervoorzieningsgebieden</v>
      </c>
      <c r="D638" s="6" t="s">
        <v>17</v>
      </c>
      <c r="E638" s="5" t="s">
        <v>18</v>
      </c>
      <c r="F638" s="6" t="s">
        <v>813</v>
      </c>
      <c r="G638" s="5" t="s">
        <v>457</v>
      </c>
      <c r="H638" s="6" t="s">
        <v>28</v>
      </c>
      <c r="I638" s="5" t="s">
        <v>21</v>
      </c>
      <c r="J638" s="4" t="s">
        <v>22</v>
      </c>
      <c r="K638" s="2" t="s">
        <v>23</v>
      </c>
      <c r="L638" s="6" t="s">
        <v>24</v>
      </c>
      <c r="M638" s="5" t="s">
        <v>25</v>
      </c>
      <c r="N638" s="3" t="s">
        <v>26</v>
      </c>
      <c r="O638" s="5">
        <v>2</v>
      </c>
      <c r="P638" s="3" t="s">
        <v>23</v>
      </c>
      <c r="Q638" s="5"/>
    </row>
    <row r="639" spans="1:17" ht="62">
      <c r="A639" s="5">
        <v>634</v>
      </c>
      <c r="B639" s="6" t="s">
        <v>16</v>
      </c>
      <c r="C639" s="5" t="str">
        <f>HYPERLINK("http://data.overheid.nl/data/dataset/locaties-helicopterfotos-20130709","Locaties helicopterfotos 20130709")</f>
        <v>Locaties helicopterfotos 20130709</v>
      </c>
      <c r="D639" s="6" t="s">
        <v>17</v>
      </c>
      <c r="E639" s="5" t="s">
        <v>18</v>
      </c>
      <c r="F639" s="6" t="s">
        <v>813</v>
      </c>
      <c r="G639" s="5" t="s">
        <v>458</v>
      </c>
      <c r="H639" s="6" t="s">
        <v>20</v>
      </c>
      <c r="I639" s="5" t="s">
        <v>21</v>
      </c>
      <c r="J639" s="4" t="s">
        <v>22</v>
      </c>
      <c r="K639" s="2" t="s">
        <v>23</v>
      </c>
      <c r="L639" s="6" t="s">
        <v>24</v>
      </c>
      <c r="M639" s="5" t="s">
        <v>25</v>
      </c>
      <c r="N639" s="3" t="s">
        <v>26</v>
      </c>
      <c r="O639" s="5">
        <v>2</v>
      </c>
      <c r="P639" s="3" t="s">
        <v>23</v>
      </c>
      <c r="Q639" s="5"/>
    </row>
    <row r="640" spans="1:17" ht="409.5">
      <c r="A640" s="5">
        <v>635</v>
      </c>
      <c r="B640" s="6" t="s">
        <v>16</v>
      </c>
      <c r="C640" s="5" t="str">
        <f>HYPERLINK("http://data.overheid.nl/data/dataset/artikel-20-gebieden-noordzee-en-voordelta","Artikel 20 gebieden Noordzee en Voordelta")</f>
        <v>Artikel 20 gebieden Noordzee en Voordelta</v>
      </c>
      <c r="D640" s="6" t="s">
        <v>17</v>
      </c>
      <c r="E640" s="5" t="s">
        <v>18</v>
      </c>
      <c r="F640" s="6" t="s">
        <v>813</v>
      </c>
      <c r="G640" s="5" t="s">
        <v>459</v>
      </c>
      <c r="H640" s="6" t="s">
        <v>20</v>
      </c>
      <c r="I640" s="5" t="s">
        <v>21</v>
      </c>
      <c r="J640" s="4" t="s">
        <v>22</v>
      </c>
      <c r="K640" s="2" t="s">
        <v>23</v>
      </c>
      <c r="L640" s="6" t="s">
        <v>24</v>
      </c>
      <c r="M640" s="5" t="s">
        <v>25</v>
      </c>
      <c r="N640" s="3" t="s">
        <v>26</v>
      </c>
      <c r="O640" s="5">
        <v>10</v>
      </c>
      <c r="P640" s="3" t="s">
        <v>23</v>
      </c>
      <c r="Q640" s="5"/>
    </row>
    <row r="641" spans="1:17" ht="46.5">
      <c r="A641" s="5">
        <v>636</v>
      </c>
      <c r="B641" s="6" t="s">
        <v>16</v>
      </c>
      <c r="C641" s="5" t="str">
        <f>HYPERLINK("http://data.overheid.nl/data/dataset/algemeen-dieptebestand-ijsselmeergebied-2012","Algemeen Dieptebestand IJsselmeergebied 2012")</f>
        <v>Algemeen Dieptebestand IJsselmeergebied 2012</v>
      </c>
      <c r="D641" s="6" t="s">
        <v>17</v>
      </c>
      <c r="E641" s="5" t="s">
        <v>18</v>
      </c>
      <c r="F641" s="6" t="s">
        <v>813</v>
      </c>
      <c r="G641" s="5" t="s">
        <v>460</v>
      </c>
      <c r="H641" s="6" t="s">
        <v>28</v>
      </c>
      <c r="I641" s="5" t="s">
        <v>21</v>
      </c>
      <c r="J641" s="4" t="s">
        <v>22</v>
      </c>
      <c r="K641" s="2" t="s">
        <v>23</v>
      </c>
      <c r="L641" s="6" t="s">
        <v>24</v>
      </c>
      <c r="M641" s="5" t="s">
        <v>25</v>
      </c>
      <c r="N641" s="3" t="s">
        <v>26</v>
      </c>
      <c r="O641" s="5">
        <v>2</v>
      </c>
      <c r="P641" s="3" t="s">
        <v>23</v>
      </c>
      <c r="Q641" s="5"/>
    </row>
    <row r="642" spans="1:17" ht="46.5">
      <c r="A642" s="5">
        <v>637</v>
      </c>
      <c r="B642" s="6" t="s">
        <v>16</v>
      </c>
      <c r="C642" s="5" t="str">
        <f>HYPERLINK("http://data.overheid.nl/data/dataset/hoogtegegevens-kribben-ijssel-2003","Hoogtegegevens kribben IJssel 2003")</f>
        <v>Hoogtegegevens kribben IJssel 2003</v>
      </c>
      <c r="D642" s="6" t="s">
        <v>17</v>
      </c>
      <c r="E642" s="5" t="s">
        <v>18</v>
      </c>
      <c r="F642" s="6" t="s">
        <v>813</v>
      </c>
      <c r="G642" s="5" t="s">
        <v>461</v>
      </c>
      <c r="H642" s="6" t="s">
        <v>20</v>
      </c>
      <c r="I642" s="5" t="s">
        <v>21</v>
      </c>
      <c r="J642" s="4" t="s">
        <v>22</v>
      </c>
      <c r="K642" s="2" t="s">
        <v>23</v>
      </c>
      <c r="L642" s="6" t="s">
        <v>24</v>
      </c>
      <c r="M642" s="5" t="s">
        <v>25</v>
      </c>
      <c r="N642" s="3" t="s">
        <v>26</v>
      </c>
      <c r="O642" s="5">
        <v>2</v>
      </c>
      <c r="P642" s="3" t="s">
        <v>23</v>
      </c>
      <c r="Q642" s="5"/>
    </row>
    <row r="643" spans="1:17" ht="31">
      <c r="A643" s="5">
        <v>638</v>
      </c>
      <c r="B643" s="6" t="s">
        <v>16</v>
      </c>
      <c r="C643" s="5" t="str">
        <f>HYPERLINK("http://data.overheid.nl/data/dataset/rijksoverheid-publicaties","Rijksoverheid publicaties")</f>
        <v>Rijksoverheid publicaties</v>
      </c>
      <c r="D643" s="6" t="s">
        <v>17</v>
      </c>
      <c r="E643" s="5" t="s">
        <v>18</v>
      </c>
      <c r="F643" s="6" t="s">
        <v>813</v>
      </c>
      <c r="G643" s="5" t="s">
        <v>462</v>
      </c>
      <c r="H643" s="6" t="s">
        <v>20</v>
      </c>
      <c r="I643" s="5" t="s">
        <v>21</v>
      </c>
      <c r="J643" s="4" t="s">
        <v>22</v>
      </c>
      <c r="K643" s="2" t="s">
        <v>23</v>
      </c>
      <c r="L643" s="6" t="s">
        <v>24</v>
      </c>
      <c r="M643" s="5" t="s">
        <v>25</v>
      </c>
      <c r="N643" s="3" t="s">
        <v>26</v>
      </c>
      <c r="O643" s="5">
        <v>1</v>
      </c>
      <c r="P643" s="3" t="s">
        <v>23</v>
      </c>
      <c r="Q643" s="5"/>
    </row>
    <row r="644" spans="1:17" ht="31">
      <c r="A644" s="5">
        <v>639</v>
      </c>
      <c r="B644" s="6" t="s">
        <v>16</v>
      </c>
      <c r="C644" s="5" t="str">
        <f>HYPERLINK("http://data.overheid.nl/data/dataset/natura-2000-bibliotheek","Natura 2000 - Bibliotheek")</f>
        <v>Natura 2000 - Bibliotheek</v>
      </c>
      <c r="D644" s="6" t="s">
        <v>17</v>
      </c>
      <c r="E644" s="5" t="s">
        <v>18</v>
      </c>
      <c r="F644" s="6" t="s">
        <v>813</v>
      </c>
      <c r="G644" s="5" t="s">
        <v>463</v>
      </c>
      <c r="H644" s="6" t="s">
        <v>20</v>
      </c>
      <c r="I644" s="5" t="s">
        <v>21</v>
      </c>
      <c r="J644" s="4" t="s">
        <v>22</v>
      </c>
      <c r="K644" s="2" t="s">
        <v>23</v>
      </c>
      <c r="L644" s="6" t="s">
        <v>24</v>
      </c>
      <c r="M644" s="5" t="s">
        <v>25</v>
      </c>
      <c r="N644" s="3" t="s">
        <v>26</v>
      </c>
      <c r="O644" s="5">
        <v>1</v>
      </c>
      <c r="P644" s="3" t="s">
        <v>23</v>
      </c>
      <c r="Q644" s="5"/>
    </row>
    <row r="645" spans="1:17" ht="31">
      <c r="A645" s="5">
        <v>640</v>
      </c>
      <c r="B645" s="6" t="s">
        <v>16</v>
      </c>
      <c r="C645" s="5" t="str">
        <f>HYPERLINK("http://data.overheid.nl/data/dataset/mwtl-raaien-2016","MWTL Raaien 2016")</f>
        <v>MWTL Raaien 2016</v>
      </c>
      <c r="D645" s="6" t="s">
        <v>17</v>
      </c>
      <c r="E645" s="5" t="s">
        <v>18</v>
      </c>
      <c r="F645" s="6" t="s">
        <v>813</v>
      </c>
      <c r="G645" s="5" t="s">
        <v>464</v>
      </c>
      <c r="H645" s="6" t="s">
        <v>20</v>
      </c>
      <c r="I645" s="5" t="s">
        <v>21</v>
      </c>
      <c r="J645" s="4" t="s">
        <v>22</v>
      </c>
      <c r="K645" s="2" t="s">
        <v>23</v>
      </c>
      <c r="L645" s="6" t="s">
        <v>24</v>
      </c>
      <c r="M645" s="5" t="s">
        <v>25</v>
      </c>
      <c r="N645" s="3" t="s">
        <v>26</v>
      </c>
      <c r="O645" s="5">
        <v>2</v>
      </c>
      <c r="P645" s="3" t="s">
        <v>23</v>
      </c>
      <c r="Q645" s="5"/>
    </row>
    <row r="646" spans="1:17" ht="62">
      <c r="A646" s="5">
        <v>641</v>
      </c>
      <c r="B646" s="6" t="s">
        <v>16</v>
      </c>
      <c r="C646" s="5" t="str">
        <f>HYPERLINK("http://data.overheid.nl/data/dataset/vaarweg-informatie-nederland-markeringen-vast","Vaarweg Informatie Nederland markeringen vast")</f>
        <v>Vaarweg Informatie Nederland markeringen vast</v>
      </c>
      <c r="D646" s="6" t="s">
        <v>17</v>
      </c>
      <c r="E646" s="5" t="s">
        <v>18</v>
      </c>
      <c r="F646" s="6" t="s">
        <v>813</v>
      </c>
      <c r="G646" s="5" t="s">
        <v>465</v>
      </c>
      <c r="H646" s="6" t="s">
        <v>20</v>
      </c>
      <c r="I646" s="5" t="s">
        <v>21</v>
      </c>
      <c r="J646" s="4" t="s">
        <v>22</v>
      </c>
      <c r="K646" s="2" t="s">
        <v>23</v>
      </c>
      <c r="L646" s="6" t="s">
        <v>24</v>
      </c>
      <c r="M646" s="5" t="s">
        <v>25</v>
      </c>
      <c r="N646" s="3" t="s">
        <v>26</v>
      </c>
      <c r="O646" s="5">
        <v>2</v>
      </c>
      <c r="P646" s="3" t="s">
        <v>23</v>
      </c>
      <c r="Q646" s="5"/>
    </row>
    <row r="647" spans="1:17" ht="31">
      <c r="A647" s="5">
        <v>642</v>
      </c>
      <c r="B647" s="6" t="s">
        <v>16</v>
      </c>
      <c r="C647" s="5" t="str">
        <f>HYPERLINK("http://data.overheid.nl/data/dataset/vaarweg-informatie-nederland-markeringen-drijvend","Vaarweg Informatie Nederland markeringen drijvend")</f>
        <v>Vaarweg Informatie Nederland markeringen drijvend</v>
      </c>
      <c r="D647" s="6" t="s">
        <v>17</v>
      </c>
      <c r="E647" s="5" t="s">
        <v>18</v>
      </c>
      <c r="F647" s="6" t="s">
        <v>813</v>
      </c>
      <c r="G647" s="5" t="s">
        <v>466</v>
      </c>
      <c r="H647" s="6" t="s">
        <v>20</v>
      </c>
      <c r="I647" s="5" t="s">
        <v>21</v>
      </c>
      <c r="J647" s="4" t="s">
        <v>22</v>
      </c>
      <c r="K647" s="2" t="s">
        <v>23</v>
      </c>
      <c r="L647" s="6" t="s">
        <v>24</v>
      </c>
      <c r="M647" s="5" t="s">
        <v>25</v>
      </c>
      <c r="N647" s="3" t="s">
        <v>26</v>
      </c>
      <c r="O647" s="5">
        <v>2</v>
      </c>
      <c r="P647" s="3" t="s">
        <v>23</v>
      </c>
      <c r="Q647" s="5"/>
    </row>
    <row r="648" spans="1:17" ht="31">
      <c r="A648" s="5">
        <v>643</v>
      </c>
      <c r="B648" s="6" t="s">
        <v>16</v>
      </c>
      <c r="C648" s="5" t="str">
        <f>HYPERLINK("http://data.overheid.nl/data/dataset/vaarweg-informatie-nederland-berichten","Vaarweg Informatie Nederland berichten")</f>
        <v>Vaarweg Informatie Nederland berichten</v>
      </c>
      <c r="D648" s="6" t="s">
        <v>17</v>
      </c>
      <c r="E648" s="5" t="s">
        <v>18</v>
      </c>
      <c r="F648" s="6" t="s">
        <v>813</v>
      </c>
      <c r="G648" s="5" t="s">
        <v>467</v>
      </c>
      <c r="H648" s="6" t="s">
        <v>20</v>
      </c>
      <c r="I648" s="5" t="s">
        <v>21</v>
      </c>
      <c r="J648" s="4" t="s">
        <v>22</v>
      </c>
      <c r="K648" s="2" t="s">
        <v>23</v>
      </c>
      <c r="L648" s="6" t="s">
        <v>24</v>
      </c>
      <c r="M648" s="5" t="s">
        <v>25</v>
      </c>
      <c r="N648" s="3" t="s">
        <v>26</v>
      </c>
      <c r="O648" s="5">
        <v>2</v>
      </c>
      <c r="P648" s="3" t="s">
        <v>23</v>
      </c>
      <c r="Q648" s="5"/>
    </row>
    <row r="649" spans="1:17" ht="124">
      <c r="A649" s="5">
        <v>644</v>
      </c>
      <c r="B649" s="6" t="s">
        <v>16</v>
      </c>
      <c r="C649" s="5" t="str">
        <f>HYPERLINK("http://data.overheid.nl/data/dataset/kaderrichtlijn-water-oppervlaktewaterlichamen-rws-vlakken","Kaderrichtlijn Water oppervlaktewaterlichamen RWS, vlakken")</f>
        <v>Kaderrichtlijn Water oppervlaktewaterlichamen RWS, vlakken</v>
      </c>
      <c r="D649" s="6" t="s">
        <v>17</v>
      </c>
      <c r="E649" s="5" t="s">
        <v>18</v>
      </c>
      <c r="F649" s="6" t="s">
        <v>813</v>
      </c>
      <c r="G649" s="5" t="s">
        <v>468</v>
      </c>
      <c r="H649" s="6" t="s">
        <v>28</v>
      </c>
      <c r="I649" s="5" t="s">
        <v>21</v>
      </c>
      <c r="J649" s="4" t="s">
        <v>22</v>
      </c>
      <c r="K649" s="2" t="s">
        <v>23</v>
      </c>
      <c r="L649" s="6" t="s">
        <v>24</v>
      </c>
      <c r="M649" s="5" t="s">
        <v>25</v>
      </c>
      <c r="N649" s="3" t="s">
        <v>26</v>
      </c>
      <c r="O649" s="5">
        <v>2</v>
      </c>
      <c r="P649" s="3" t="s">
        <v>23</v>
      </c>
      <c r="Q649" s="5"/>
    </row>
    <row r="650" spans="1:17" ht="124">
      <c r="A650" s="5">
        <v>645</v>
      </c>
      <c r="B650" s="6" t="s">
        <v>16</v>
      </c>
      <c r="C650" s="5" t="str">
        <f>HYPERLINK("http://data.overheid.nl/data/dataset/kaderrichtlijn-water-oppervlaktewaterlichamen-rws-lijnen","Kaderrichtlijn Water oppervlaktewaterlichamen RWS, lijnen")</f>
        <v>Kaderrichtlijn Water oppervlaktewaterlichamen RWS, lijnen</v>
      </c>
      <c r="D650" s="6" t="s">
        <v>17</v>
      </c>
      <c r="E650" s="5" t="s">
        <v>18</v>
      </c>
      <c r="F650" s="6" t="s">
        <v>813</v>
      </c>
      <c r="G650" s="5" t="s">
        <v>468</v>
      </c>
      <c r="H650" s="6" t="s">
        <v>20</v>
      </c>
      <c r="I650" s="5" t="s">
        <v>21</v>
      </c>
      <c r="J650" s="4" t="s">
        <v>22</v>
      </c>
      <c r="K650" s="2" t="s">
        <v>23</v>
      </c>
      <c r="L650" s="6" t="s">
        <v>24</v>
      </c>
      <c r="M650" s="5" t="s">
        <v>25</v>
      </c>
      <c r="N650" s="3" t="s">
        <v>26</v>
      </c>
      <c r="O650" s="5">
        <v>2</v>
      </c>
      <c r="P650" s="3" t="s">
        <v>23</v>
      </c>
      <c r="Q650" s="5"/>
    </row>
    <row r="651" spans="1:17" ht="93">
      <c r="A651" s="5">
        <v>646</v>
      </c>
      <c r="B651" s="6" t="s">
        <v>16</v>
      </c>
      <c r="C651" s="5" t="str">
        <f>HYPERLINK("http://data.overheid.nl/data/dataset/kaderrichtlijn-water-oppervlaktewaterdelen-rws-vlakken","Kaderrichtlijn Water oppervlaktewaterdelen RWS, vlakken")</f>
        <v>Kaderrichtlijn Water oppervlaktewaterdelen RWS, vlakken</v>
      </c>
      <c r="D651" s="6" t="s">
        <v>17</v>
      </c>
      <c r="E651" s="5" t="s">
        <v>18</v>
      </c>
      <c r="F651" s="6" t="s">
        <v>813</v>
      </c>
      <c r="G651" s="5" t="s">
        <v>469</v>
      </c>
      <c r="H651" s="6" t="s">
        <v>20</v>
      </c>
      <c r="I651" s="5" t="s">
        <v>21</v>
      </c>
      <c r="J651" s="4" t="s">
        <v>22</v>
      </c>
      <c r="K651" s="2" t="s">
        <v>23</v>
      </c>
      <c r="L651" s="6" t="s">
        <v>24</v>
      </c>
      <c r="M651" s="5" t="s">
        <v>25</v>
      </c>
      <c r="N651" s="3" t="s">
        <v>26</v>
      </c>
      <c r="O651" s="5">
        <v>2</v>
      </c>
      <c r="P651" s="3" t="s">
        <v>23</v>
      </c>
      <c r="Q651" s="5"/>
    </row>
    <row r="652" spans="1:17" ht="93">
      <c r="A652" s="5">
        <v>647</v>
      </c>
      <c r="B652" s="6" t="s">
        <v>16</v>
      </c>
      <c r="C652" s="5" t="str">
        <f>HYPERLINK("http://data.overheid.nl/data/dataset/kaderrichtlijn-water-oppervlaktewaterdelen-rws-lijnen","Kaderrichtlijn Water oppervlaktewaterdelen RWS, lijnen")</f>
        <v>Kaderrichtlijn Water oppervlaktewaterdelen RWS, lijnen</v>
      </c>
      <c r="D652" s="6" t="s">
        <v>17</v>
      </c>
      <c r="E652" s="5" t="s">
        <v>18</v>
      </c>
      <c r="F652" s="6" t="s">
        <v>813</v>
      </c>
      <c r="G652" s="5" t="s">
        <v>470</v>
      </c>
      <c r="H652" s="6" t="s">
        <v>28</v>
      </c>
      <c r="I652" s="5" t="s">
        <v>21</v>
      </c>
      <c r="J652" s="4" t="s">
        <v>22</v>
      </c>
      <c r="K652" s="2" t="s">
        <v>23</v>
      </c>
      <c r="L652" s="6" t="s">
        <v>24</v>
      </c>
      <c r="M652" s="5" t="s">
        <v>25</v>
      </c>
      <c r="N652" s="3" t="s">
        <v>26</v>
      </c>
      <c r="O652" s="5">
        <v>2</v>
      </c>
      <c r="P652" s="3" t="s">
        <v>23</v>
      </c>
      <c r="Q652" s="5"/>
    </row>
    <row r="653" spans="1:17" ht="46.5">
      <c r="A653" s="5">
        <v>648</v>
      </c>
      <c r="B653" s="6" t="s">
        <v>16</v>
      </c>
      <c r="C653" s="5" t="str">
        <f>HYPERLINK("http://data.overheid.nl/data/dataset/actuele-wegenlijst","Actuele Wegenlijst")</f>
        <v>Actuele Wegenlijst</v>
      </c>
      <c r="D653" s="6" t="s">
        <v>17</v>
      </c>
      <c r="E653" s="5" t="s">
        <v>18</v>
      </c>
      <c r="F653" s="6" t="s">
        <v>813</v>
      </c>
      <c r="G653" s="5" t="s">
        <v>471</v>
      </c>
      <c r="H653" s="6" t="s">
        <v>20</v>
      </c>
      <c r="I653" s="5" t="s">
        <v>21</v>
      </c>
      <c r="J653" s="4" t="s">
        <v>22</v>
      </c>
      <c r="K653" s="2" t="s">
        <v>23</v>
      </c>
      <c r="L653" s="6" t="s">
        <v>24</v>
      </c>
      <c r="M653" s="5" t="s">
        <v>25</v>
      </c>
      <c r="N653" s="3" t="s">
        <v>26</v>
      </c>
      <c r="O653" s="5">
        <v>1</v>
      </c>
      <c r="P653" s="3" t="s">
        <v>23</v>
      </c>
      <c r="Q653" s="5"/>
    </row>
    <row r="654" spans="1:17" ht="46.5">
      <c r="A654" s="5">
        <v>649</v>
      </c>
      <c r="B654" s="6" t="s">
        <v>16</v>
      </c>
      <c r="C654" s="5" t="str">
        <f>HYPERLINK("http://data.overheid.nl/data/dataset/orthofotomozaiek-eroderende-maasoevers-falsecolour-2012","Orthofotomozaiek Eroderende Maasoevers falsecolour 2012")</f>
        <v>Orthofotomozaiek Eroderende Maasoevers falsecolour 2012</v>
      </c>
      <c r="D654" s="6" t="s">
        <v>17</v>
      </c>
      <c r="E654" s="5" t="s">
        <v>18</v>
      </c>
      <c r="F654" s="6" t="s">
        <v>813</v>
      </c>
      <c r="G654" s="5" t="s">
        <v>472</v>
      </c>
      <c r="H654" s="6" t="s">
        <v>20</v>
      </c>
      <c r="I654" s="5" t="s">
        <v>21</v>
      </c>
      <c r="J654" s="4" t="s">
        <v>22</v>
      </c>
      <c r="K654" s="2" t="s">
        <v>23</v>
      </c>
      <c r="L654" s="6" t="s">
        <v>24</v>
      </c>
      <c r="M654" s="5" t="s">
        <v>25</v>
      </c>
      <c r="N654" s="3" t="s">
        <v>26</v>
      </c>
      <c r="O654" s="5">
        <v>2</v>
      </c>
      <c r="P654" s="3" t="s">
        <v>23</v>
      </c>
      <c r="Q654" s="5"/>
    </row>
    <row r="655" spans="1:17" ht="62">
      <c r="A655" s="5">
        <v>650</v>
      </c>
      <c r="B655" s="6" t="s">
        <v>16</v>
      </c>
      <c r="C655" s="5" t="str">
        <f>HYPERLINK("http://data.overheid.nl/data/dataset/kust-zuid-holland-zandmotor-2012","Kust Zuid-Holland Zandmotor 2012")</f>
        <v>Kust Zuid-Holland Zandmotor 2012</v>
      </c>
      <c r="D655" s="6" t="s">
        <v>17</v>
      </c>
      <c r="E655" s="5" t="s">
        <v>18</v>
      </c>
      <c r="F655" s="6" t="s">
        <v>813</v>
      </c>
      <c r="G655" s="5" t="s">
        <v>473</v>
      </c>
      <c r="H655" s="6" t="s">
        <v>20</v>
      </c>
      <c r="I655" s="5" t="s">
        <v>21</v>
      </c>
      <c r="J655" s="4" t="s">
        <v>22</v>
      </c>
      <c r="K655" s="2" t="s">
        <v>23</v>
      </c>
      <c r="L655" s="6" t="s">
        <v>24</v>
      </c>
      <c r="M655" s="5" t="s">
        <v>25</v>
      </c>
      <c r="N655" s="3" t="s">
        <v>26</v>
      </c>
      <c r="O655" s="5">
        <v>2</v>
      </c>
      <c r="P655" s="3" t="s">
        <v>23</v>
      </c>
      <c r="Q655" s="5"/>
    </row>
    <row r="656" spans="1:17" ht="31">
      <c r="A656" s="5">
        <v>651</v>
      </c>
      <c r="B656" s="6" t="s">
        <v>16</v>
      </c>
      <c r="C656" s="5" t="str">
        <f>HYPERLINK("http://data.overheid.nl/data/dataset/afwateringsgebieden","Afwateringsgebieden")</f>
        <v>Afwateringsgebieden</v>
      </c>
      <c r="D656" s="6" t="s">
        <v>17</v>
      </c>
      <c r="E656" s="5" t="s">
        <v>18</v>
      </c>
      <c r="F656" s="6" t="s">
        <v>813</v>
      </c>
      <c r="G656" s="5" t="s">
        <v>474</v>
      </c>
      <c r="H656" s="6" t="s">
        <v>20</v>
      </c>
      <c r="I656" s="5" t="s">
        <v>21</v>
      </c>
      <c r="J656" s="4" t="s">
        <v>22</v>
      </c>
      <c r="K656" s="2" t="s">
        <v>23</v>
      </c>
      <c r="L656" s="6" t="s">
        <v>24</v>
      </c>
      <c r="M656" s="5" t="s">
        <v>25</v>
      </c>
      <c r="N656" s="3" t="s">
        <v>26</v>
      </c>
      <c r="O656" s="5">
        <v>2</v>
      </c>
      <c r="P656" s="3" t="s">
        <v>23</v>
      </c>
      <c r="Q656" s="5"/>
    </row>
    <row r="657" spans="1:17" ht="62">
      <c r="A657" s="5">
        <v>652</v>
      </c>
      <c r="B657" s="6" t="s">
        <v>16</v>
      </c>
      <c r="C657" s="5" t="str">
        <f>HYPERLINK("http://data.overheid.nl/data/dataset/verwachte-heggen-in-stroomgebieden-rivieren-2015","Verwachte heggen in stroomgebieden rivieren 2015")</f>
        <v>Verwachte heggen in stroomgebieden rivieren 2015</v>
      </c>
      <c r="D657" s="6" t="s">
        <v>17</v>
      </c>
      <c r="E657" s="5" t="s">
        <v>18</v>
      </c>
      <c r="F657" s="6" t="s">
        <v>813</v>
      </c>
      <c r="G657" s="5" t="s">
        <v>475</v>
      </c>
      <c r="H657" s="6" t="s">
        <v>20</v>
      </c>
      <c r="I657" s="5" t="s">
        <v>21</v>
      </c>
      <c r="J657" s="4" t="s">
        <v>22</v>
      </c>
      <c r="K657" s="2" t="s">
        <v>23</v>
      </c>
      <c r="L657" s="6" t="s">
        <v>24</v>
      </c>
      <c r="M657" s="5" t="s">
        <v>25</v>
      </c>
      <c r="N657" s="3" t="s">
        <v>26</v>
      </c>
      <c r="O657" s="5">
        <v>2</v>
      </c>
      <c r="P657" s="3" t="s">
        <v>23</v>
      </c>
      <c r="Q657" s="5"/>
    </row>
    <row r="658" spans="1:17" ht="62">
      <c r="A658" s="5">
        <v>653</v>
      </c>
      <c r="B658" s="6" t="s">
        <v>16</v>
      </c>
      <c r="C658" s="5" t="str">
        <f>HYPERLINK("http://data.overheid.nl/data/dataset/verwachte-ecotopen-in-stroomgebieden-rivieren-2015","Verwachte ecotopen in stroomgebieden rivieren 2015")</f>
        <v>Verwachte ecotopen in stroomgebieden rivieren 2015</v>
      </c>
      <c r="D658" s="6" t="s">
        <v>17</v>
      </c>
      <c r="E658" s="5" t="s">
        <v>18</v>
      </c>
      <c r="F658" s="6" t="s">
        <v>813</v>
      </c>
      <c r="G658" s="5" t="s">
        <v>476</v>
      </c>
      <c r="H658" s="6" t="s">
        <v>20</v>
      </c>
      <c r="I658" s="5" t="s">
        <v>21</v>
      </c>
      <c r="J658" s="4" t="s">
        <v>22</v>
      </c>
      <c r="K658" s="2" t="s">
        <v>23</v>
      </c>
      <c r="L658" s="6" t="s">
        <v>24</v>
      </c>
      <c r="M658" s="5" t="s">
        <v>25</v>
      </c>
      <c r="N658" s="3" t="s">
        <v>26</v>
      </c>
      <c r="O658" s="5">
        <v>2</v>
      </c>
      <c r="P658" s="3" t="s">
        <v>23</v>
      </c>
      <c r="Q658" s="5"/>
    </row>
    <row r="659" spans="1:17" ht="62">
      <c r="A659" s="5">
        <v>654</v>
      </c>
      <c r="B659" s="6" t="s">
        <v>16</v>
      </c>
      <c r="C659" s="5" t="str">
        <f>HYPERLINK("http://data.overheid.nl/data/dataset/stroomluwe-deel-nederlandse-rivieren-vallend-onder-toezicht-van-het-rijk-07-2012","Stroomluwe deel Nederlandse rivieren vallend onder toezicht van het rijk, 07-2012")</f>
        <v>Stroomluwe deel Nederlandse rivieren vallend onder toezicht van het rijk, 07-2012</v>
      </c>
      <c r="D659" s="6" t="s">
        <v>17</v>
      </c>
      <c r="E659" s="5" t="s">
        <v>18</v>
      </c>
      <c r="F659" s="6" t="s">
        <v>813</v>
      </c>
      <c r="G659" s="5" t="s">
        <v>477</v>
      </c>
      <c r="H659" s="6" t="s">
        <v>20</v>
      </c>
      <c r="I659" s="5" t="s">
        <v>21</v>
      </c>
      <c r="J659" s="4" t="s">
        <v>22</v>
      </c>
      <c r="K659" s="2" t="s">
        <v>23</v>
      </c>
      <c r="L659" s="6" t="s">
        <v>24</v>
      </c>
      <c r="M659" s="5" t="s">
        <v>25</v>
      </c>
      <c r="N659" s="3" t="s">
        <v>26</v>
      </c>
      <c r="O659" s="5">
        <v>2</v>
      </c>
      <c r="P659" s="3" t="s">
        <v>23</v>
      </c>
      <c r="Q659" s="5"/>
    </row>
    <row r="660" spans="1:17" ht="77.5">
      <c r="A660" s="5">
        <v>655</v>
      </c>
      <c r="B660" s="6" t="s">
        <v>16</v>
      </c>
      <c r="C660" s="5" t="str">
        <f>HYPERLINK("http://data.overheid.nl/data/dataset/stroomlijnprojectgrens-inhaalslag-nederlandse-rivieren-07-2012-versie-2","Stroomlijnprojectgrens inhaalslag Nederlandse rivieren, 07-2012 versie 2")</f>
        <v>Stroomlijnprojectgrens inhaalslag Nederlandse rivieren, 07-2012 versie 2</v>
      </c>
      <c r="D660" s="6" t="s">
        <v>17</v>
      </c>
      <c r="E660" s="5" t="s">
        <v>18</v>
      </c>
      <c r="F660" s="6" t="s">
        <v>813</v>
      </c>
      <c r="G660" s="5" t="s">
        <v>478</v>
      </c>
      <c r="H660" s="6" t="s">
        <v>20</v>
      </c>
      <c r="I660" s="5" t="s">
        <v>21</v>
      </c>
      <c r="J660" s="4" t="s">
        <v>22</v>
      </c>
      <c r="K660" s="2" t="s">
        <v>23</v>
      </c>
      <c r="L660" s="6" t="s">
        <v>24</v>
      </c>
      <c r="M660" s="5" t="s">
        <v>25</v>
      </c>
      <c r="N660" s="3" t="s">
        <v>26</v>
      </c>
      <c r="O660" s="5">
        <v>2</v>
      </c>
      <c r="P660" s="3" t="s">
        <v>23</v>
      </c>
      <c r="Q660" s="5"/>
    </row>
    <row r="661" spans="1:17" ht="77.5">
      <c r="A661" s="5">
        <v>656</v>
      </c>
      <c r="B661" s="6" t="s">
        <v>16</v>
      </c>
      <c r="C661" s="5" t="str">
        <f>HYPERLINK("http://data.overheid.nl/data/dataset/stroomlijnprojectgrens-inhaalslag-nederlandse-rivieren-07-2012","Stroomlijnprojectgrens inhaalslag Nederlandse rivieren, 07-2012")</f>
        <v>Stroomlijnprojectgrens inhaalslag Nederlandse rivieren, 07-2012</v>
      </c>
      <c r="D661" s="6" t="s">
        <v>17</v>
      </c>
      <c r="E661" s="5" t="s">
        <v>18</v>
      </c>
      <c r="F661" s="6" t="s">
        <v>813</v>
      </c>
      <c r="G661" s="5" t="s">
        <v>478</v>
      </c>
      <c r="H661" s="6" t="s">
        <v>20</v>
      </c>
      <c r="I661" s="5" t="s">
        <v>21</v>
      </c>
      <c r="J661" s="4" t="s">
        <v>22</v>
      </c>
      <c r="K661" s="2" t="s">
        <v>23</v>
      </c>
      <c r="L661" s="6" t="s">
        <v>24</v>
      </c>
      <c r="M661" s="5" t="s">
        <v>25</v>
      </c>
      <c r="N661" s="3" t="s">
        <v>26</v>
      </c>
      <c r="O661" s="5">
        <v>2</v>
      </c>
      <c r="P661" s="3" t="s">
        <v>23</v>
      </c>
      <c r="Q661" s="5"/>
    </row>
    <row r="662" spans="1:17" ht="62">
      <c r="A662" s="5">
        <v>657</v>
      </c>
      <c r="B662" s="6" t="s">
        <v>16</v>
      </c>
      <c r="C662" s="5" t="str">
        <f>HYPERLINK("http://data.overheid.nl/data/dataset/stroombaan-nederlandse-rivieren-07-2012","Stroombaan Nederlandse rivieren, 07-2012")</f>
        <v>Stroombaan Nederlandse rivieren, 07-2012</v>
      </c>
      <c r="D662" s="6" t="s">
        <v>17</v>
      </c>
      <c r="E662" s="5" t="s">
        <v>18</v>
      </c>
      <c r="F662" s="6" t="s">
        <v>813</v>
      </c>
      <c r="G662" s="5" t="s">
        <v>479</v>
      </c>
      <c r="H662" s="6" t="s">
        <v>20</v>
      </c>
      <c r="I662" s="5" t="s">
        <v>21</v>
      </c>
      <c r="J662" s="4" t="s">
        <v>22</v>
      </c>
      <c r="K662" s="2" t="s">
        <v>23</v>
      </c>
      <c r="L662" s="6" t="s">
        <v>24</v>
      </c>
      <c r="M662" s="5" t="s">
        <v>25</v>
      </c>
      <c r="N662" s="3" t="s">
        <v>26</v>
      </c>
      <c r="O662" s="5">
        <v>2</v>
      </c>
      <c r="P662" s="3" t="s">
        <v>23</v>
      </c>
      <c r="Q662" s="5"/>
    </row>
    <row r="663" spans="1:17" ht="31">
      <c r="A663" s="5">
        <v>658</v>
      </c>
      <c r="B663" s="6" t="s">
        <v>16</v>
      </c>
      <c r="C663" s="5" t="str">
        <f>HYPERLINK("http://data.overheid.nl/data/dataset/gebied-waterkwantiteit-uit-waterwet-07-2012","Gebied waterkwantiteit uit Waterwet, 07-2012")</f>
        <v>Gebied waterkwantiteit uit Waterwet, 07-2012</v>
      </c>
      <c r="D663" s="6" t="s">
        <v>17</v>
      </c>
      <c r="E663" s="5" t="s">
        <v>18</v>
      </c>
      <c r="F663" s="6" t="s">
        <v>813</v>
      </c>
      <c r="G663" s="5" t="s">
        <v>480</v>
      </c>
      <c r="H663" s="6" t="s">
        <v>20</v>
      </c>
      <c r="I663" s="5" t="s">
        <v>21</v>
      </c>
      <c r="J663" s="4" t="s">
        <v>22</v>
      </c>
      <c r="K663" s="2" t="s">
        <v>23</v>
      </c>
      <c r="L663" s="6" t="s">
        <v>24</v>
      </c>
      <c r="M663" s="5" t="s">
        <v>25</v>
      </c>
      <c r="N663" s="3" t="s">
        <v>26</v>
      </c>
      <c r="O663" s="5">
        <v>2</v>
      </c>
      <c r="P663" s="3" t="s">
        <v>23</v>
      </c>
      <c r="Q663" s="5"/>
    </row>
    <row r="664" spans="1:17" ht="77.5">
      <c r="A664" s="5">
        <v>659</v>
      </c>
      <c r="B664" s="6" t="s">
        <v>16</v>
      </c>
      <c r="C664" s="5" t="str">
        <f>HYPERLINK("http://data.overheid.nl/data/dataset/gebieden-projecten-ruimte-voor-de-rivier-in-stroomgebieden-rivieren-2015","Gebieden Projecten Ruimte voor de Rivier in stroomgebieden rivieren 2015")</f>
        <v>Gebieden Projecten Ruimte voor de Rivier in stroomgebieden rivieren 2015</v>
      </c>
      <c r="D664" s="6" t="s">
        <v>17</v>
      </c>
      <c r="E664" s="5" t="s">
        <v>18</v>
      </c>
      <c r="F664" s="6" t="s">
        <v>813</v>
      </c>
      <c r="G664" s="5" t="s">
        <v>481</v>
      </c>
      <c r="H664" s="6" t="s">
        <v>20</v>
      </c>
      <c r="I664" s="5" t="s">
        <v>21</v>
      </c>
      <c r="J664" s="4" t="s">
        <v>22</v>
      </c>
      <c r="K664" s="2" t="s">
        <v>23</v>
      </c>
      <c r="L664" s="6" t="s">
        <v>24</v>
      </c>
      <c r="M664" s="5" t="s">
        <v>25</v>
      </c>
      <c r="N664" s="3" t="s">
        <v>26</v>
      </c>
      <c r="O664" s="5">
        <v>2</v>
      </c>
      <c r="P664" s="3" t="s">
        <v>23</v>
      </c>
      <c r="Q664" s="5"/>
    </row>
    <row r="665" spans="1:17" ht="77.5">
      <c r="A665" s="5">
        <v>660</v>
      </c>
      <c r="B665" s="6" t="s">
        <v>16</v>
      </c>
      <c r="C665" s="5" t="str">
        <f>HYPERLINK("http://data.overheid.nl/data/dataset/gebieden-projecten-maaswerken-in-stroomgebieden-rivieren-2015","Gebieden Projecten Maaswerken in stroomgebieden rivieren 2015")</f>
        <v>Gebieden Projecten Maaswerken in stroomgebieden rivieren 2015</v>
      </c>
      <c r="D665" s="6" t="s">
        <v>17</v>
      </c>
      <c r="E665" s="5" t="s">
        <v>18</v>
      </c>
      <c r="F665" s="6" t="s">
        <v>813</v>
      </c>
      <c r="G665" s="5" t="s">
        <v>482</v>
      </c>
      <c r="H665" s="6" t="s">
        <v>20</v>
      </c>
      <c r="I665" s="5" t="s">
        <v>21</v>
      </c>
      <c r="J665" s="4" t="s">
        <v>22</v>
      </c>
      <c r="K665" s="2" t="s">
        <v>23</v>
      </c>
      <c r="L665" s="6" t="s">
        <v>24</v>
      </c>
      <c r="M665" s="5" t="s">
        <v>25</v>
      </c>
      <c r="N665" s="3" t="s">
        <v>26</v>
      </c>
      <c r="O665" s="5">
        <v>2</v>
      </c>
      <c r="P665" s="3" t="s">
        <v>23</v>
      </c>
      <c r="Q665" s="5"/>
    </row>
    <row r="666" spans="1:17" ht="62">
      <c r="A666" s="5">
        <v>661</v>
      </c>
      <c r="B666" s="6" t="s">
        <v>16</v>
      </c>
      <c r="C666" s="5" t="str">
        <f>HYPERLINK("http://data.overheid.nl/data/dataset/gebieden-ecologische-onderhoudscontracten-en-prestatiecontracten-2012","Gebieden Ecologische Onderhoudscontracten en Prestatiecontracten 2012")</f>
        <v>Gebieden Ecologische Onderhoudscontracten en Prestatiecontracten 2012</v>
      </c>
      <c r="D666" s="6" t="s">
        <v>17</v>
      </c>
      <c r="E666" s="5" t="s">
        <v>18</v>
      </c>
      <c r="F666" s="6" t="s">
        <v>813</v>
      </c>
      <c r="G666" s="5" t="s">
        <v>483</v>
      </c>
      <c r="H666" s="6" t="s">
        <v>20</v>
      </c>
      <c r="I666" s="5" t="s">
        <v>21</v>
      </c>
      <c r="J666" s="4" t="s">
        <v>22</v>
      </c>
      <c r="K666" s="2" t="s">
        <v>23</v>
      </c>
      <c r="L666" s="6" t="s">
        <v>24</v>
      </c>
      <c r="M666" s="5" t="s">
        <v>25</v>
      </c>
      <c r="N666" s="3" t="s">
        <v>26</v>
      </c>
      <c r="O666" s="5">
        <v>2</v>
      </c>
      <c r="P666" s="3" t="s">
        <v>23</v>
      </c>
      <c r="Q666" s="5"/>
    </row>
    <row r="667" spans="1:17" ht="31">
      <c r="A667" s="5">
        <v>662</v>
      </c>
      <c r="B667" s="6" t="s">
        <v>16</v>
      </c>
      <c r="C667" s="5" t="str">
        <f>HYPERLINK("http://data.overheid.nl/data/dataset/dtm-a27-lunetten-hooipolder","DTM A27 Lunetten-Hooipolder")</f>
        <v>DTM A27 Lunetten-Hooipolder</v>
      </c>
      <c r="D667" s="6" t="s">
        <v>17</v>
      </c>
      <c r="E667" s="5" t="s">
        <v>18</v>
      </c>
      <c r="F667" s="6" t="s">
        <v>813</v>
      </c>
      <c r="G667" s="5" t="s">
        <v>484</v>
      </c>
      <c r="H667" s="6" t="s">
        <v>20</v>
      </c>
      <c r="I667" s="5" t="s">
        <v>21</v>
      </c>
      <c r="J667" s="4" t="s">
        <v>22</v>
      </c>
      <c r="K667" s="2" t="s">
        <v>23</v>
      </c>
      <c r="L667" s="6" t="s">
        <v>24</v>
      </c>
      <c r="M667" s="5" t="s">
        <v>25</v>
      </c>
      <c r="N667" s="3" t="s">
        <v>26</v>
      </c>
      <c r="O667" s="5">
        <v>2</v>
      </c>
      <c r="P667" s="3" t="s">
        <v>23</v>
      </c>
      <c r="Q667" s="5"/>
    </row>
    <row r="668" spans="1:17" ht="62">
      <c r="A668" s="5">
        <v>663</v>
      </c>
      <c r="B668" s="6" t="s">
        <v>16</v>
      </c>
      <c r="C668" s="5" t="str">
        <f>HYPERLINK("http://data.overheid.nl/data/dataset/overzicht-vlieglijnen-kribben-waal-2003","Overzicht vlieglijnen kribben Waal 2003")</f>
        <v>Overzicht vlieglijnen kribben Waal 2003</v>
      </c>
      <c r="D668" s="6" t="s">
        <v>17</v>
      </c>
      <c r="E668" s="5" t="s">
        <v>18</v>
      </c>
      <c r="F668" s="6" t="s">
        <v>813</v>
      </c>
      <c r="G668" s="5" t="s">
        <v>195</v>
      </c>
      <c r="H668" s="6" t="s">
        <v>20</v>
      </c>
      <c r="I668" s="5" t="s">
        <v>21</v>
      </c>
      <c r="J668" s="4" t="s">
        <v>22</v>
      </c>
      <c r="K668" s="2" t="s">
        <v>23</v>
      </c>
      <c r="L668" s="6" t="s">
        <v>24</v>
      </c>
      <c r="M668" s="5" t="s">
        <v>25</v>
      </c>
      <c r="N668" s="3" t="s">
        <v>26</v>
      </c>
      <c r="O668" s="5">
        <v>2</v>
      </c>
      <c r="P668" s="3" t="s">
        <v>23</v>
      </c>
      <c r="Q668" s="5"/>
    </row>
    <row r="669" spans="1:17" ht="62">
      <c r="A669" s="5">
        <v>664</v>
      </c>
      <c r="B669" s="6" t="s">
        <v>16</v>
      </c>
      <c r="C669" s="5" t="str">
        <f>HYPERLINK("http://data.overheid.nl/data/dataset/overzicht-vlieglijnen-kribben-pannerdens-kanaal-2003","Overzicht vlieglijnen kribben Pannerdens kanaal 2003")</f>
        <v>Overzicht vlieglijnen kribben Pannerdens kanaal 2003</v>
      </c>
      <c r="D669" s="6" t="s">
        <v>17</v>
      </c>
      <c r="E669" s="5" t="s">
        <v>18</v>
      </c>
      <c r="F669" s="6" t="s">
        <v>813</v>
      </c>
      <c r="G669" s="5" t="s">
        <v>195</v>
      </c>
      <c r="H669" s="6" t="s">
        <v>20</v>
      </c>
      <c r="I669" s="5" t="s">
        <v>21</v>
      </c>
      <c r="J669" s="4" t="s">
        <v>22</v>
      </c>
      <c r="K669" s="2" t="s">
        <v>23</v>
      </c>
      <c r="L669" s="6" t="s">
        <v>24</v>
      </c>
      <c r="M669" s="5" t="s">
        <v>25</v>
      </c>
      <c r="N669" s="3" t="s">
        <v>26</v>
      </c>
      <c r="O669" s="5">
        <v>2</v>
      </c>
      <c r="P669" s="3" t="s">
        <v>23</v>
      </c>
      <c r="Q669" s="5"/>
    </row>
    <row r="670" spans="1:17" ht="62">
      <c r="A670" s="5">
        <v>665</v>
      </c>
      <c r="B670" s="6" t="s">
        <v>16</v>
      </c>
      <c r="C670" s="5" t="str">
        <f>HYPERLINK("http://data.overheid.nl/data/dataset/overzicht-vlieglijnen-kribben-ijssel-2003","Overzicht vlieglijnen kribben IJssel 2003")</f>
        <v>Overzicht vlieglijnen kribben IJssel 2003</v>
      </c>
      <c r="D670" s="6" t="s">
        <v>17</v>
      </c>
      <c r="E670" s="5" t="s">
        <v>18</v>
      </c>
      <c r="F670" s="6" t="s">
        <v>813</v>
      </c>
      <c r="G670" s="5" t="s">
        <v>195</v>
      </c>
      <c r="H670" s="6" t="s">
        <v>20</v>
      </c>
      <c r="I670" s="5" t="s">
        <v>21</v>
      </c>
      <c r="J670" s="4" t="s">
        <v>22</v>
      </c>
      <c r="K670" s="2" t="s">
        <v>23</v>
      </c>
      <c r="L670" s="6" t="s">
        <v>24</v>
      </c>
      <c r="M670" s="5" t="s">
        <v>25</v>
      </c>
      <c r="N670" s="3" t="s">
        <v>26</v>
      </c>
      <c r="O670" s="5">
        <v>2</v>
      </c>
      <c r="P670" s="3" t="s">
        <v>23</v>
      </c>
      <c r="Q670" s="5"/>
    </row>
    <row r="671" spans="1:17" ht="46.5">
      <c r="A671" s="5">
        <v>666</v>
      </c>
      <c r="B671" s="6" t="s">
        <v>16</v>
      </c>
      <c r="C671" s="5" t="str">
        <f>HYPERLINK("http://data.overheid.nl/data/dataset/contouren-ijsselmeergebied","Contouren IJsselmeergebied")</f>
        <v>Contouren IJsselmeergebied</v>
      </c>
      <c r="D671" s="6" t="s">
        <v>17</v>
      </c>
      <c r="E671" s="5" t="s">
        <v>18</v>
      </c>
      <c r="F671" s="6" t="s">
        <v>813</v>
      </c>
      <c r="G671" s="5" t="s">
        <v>485</v>
      </c>
      <c r="H671" s="6" t="s">
        <v>28</v>
      </c>
      <c r="I671" s="5" t="s">
        <v>21</v>
      </c>
      <c r="J671" s="4" t="s">
        <v>22</v>
      </c>
      <c r="K671" s="2" t="s">
        <v>23</v>
      </c>
      <c r="L671" s="6" t="s">
        <v>24</v>
      </c>
      <c r="M671" s="5" t="s">
        <v>25</v>
      </c>
      <c r="N671" s="3" t="s">
        <v>26</v>
      </c>
      <c r="O671" s="5">
        <v>2</v>
      </c>
      <c r="P671" s="3" t="s">
        <v>23</v>
      </c>
      <c r="Q671" s="5"/>
    </row>
    <row r="672" spans="1:17" ht="31">
      <c r="A672" s="5">
        <v>667</v>
      </c>
      <c r="B672" s="6" t="s">
        <v>16</v>
      </c>
      <c r="C672" s="5" t="str">
        <f>HYPERLINK("http://data.overheid.nl/data/dataset/rijkswaterstaat-leefomgeving-handleiding-webtoets-afval-of-grondstof","Rijkswaterstaat Leefomgeving - Handleiding Webtoets Afval of Grondstof")</f>
        <v>Rijkswaterstaat Leefomgeving - Handleiding Webtoets Afval of Grondstof</v>
      </c>
      <c r="D672" s="6" t="s">
        <v>17</v>
      </c>
      <c r="E672" s="5" t="s">
        <v>18</v>
      </c>
      <c r="F672" s="6" t="s">
        <v>813</v>
      </c>
      <c r="G672" s="5" t="s">
        <v>486</v>
      </c>
      <c r="H672" s="6" t="s">
        <v>20</v>
      </c>
      <c r="I672" s="5" t="s">
        <v>21</v>
      </c>
      <c r="J672" s="4" t="s">
        <v>22</v>
      </c>
      <c r="K672" s="2" t="s">
        <v>23</v>
      </c>
      <c r="L672" s="6" t="s">
        <v>24</v>
      </c>
      <c r="M672" s="5" t="s">
        <v>25</v>
      </c>
      <c r="N672" s="3" t="s">
        <v>26</v>
      </c>
      <c r="O672" s="5">
        <v>2</v>
      </c>
      <c r="P672" s="3" t="s">
        <v>23</v>
      </c>
      <c r="Q672" s="5"/>
    </row>
    <row r="673" spans="1:17" ht="31">
      <c r="A673" s="5">
        <v>668</v>
      </c>
      <c r="B673" s="6" t="s">
        <v>16</v>
      </c>
      <c r="C673" s="5" t="str">
        <f>HYPERLINK("http://data.overheid.nl/data/dataset/rijkswaterstaat-leefomgeving-afvaldatabase","Rijkswaterstaat Leefomgeving - Afvaldatabase")</f>
        <v>Rijkswaterstaat Leefomgeving - Afvaldatabase</v>
      </c>
      <c r="D673" s="6" t="s">
        <v>17</v>
      </c>
      <c r="E673" s="5" t="s">
        <v>18</v>
      </c>
      <c r="F673" s="6" t="s">
        <v>813</v>
      </c>
      <c r="G673" s="5" t="s">
        <v>487</v>
      </c>
      <c r="H673" s="6" t="s">
        <v>20</v>
      </c>
      <c r="I673" s="5" t="s">
        <v>21</v>
      </c>
      <c r="J673" s="4" t="s">
        <v>22</v>
      </c>
      <c r="K673" s="2" t="s">
        <v>23</v>
      </c>
      <c r="L673" s="6" t="s">
        <v>24</v>
      </c>
      <c r="M673" s="5" t="s">
        <v>25</v>
      </c>
      <c r="N673" s="3" t="s">
        <v>26</v>
      </c>
      <c r="O673" s="5">
        <v>3</v>
      </c>
      <c r="P673" s="3" t="s">
        <v>23</v>
      </c>
      <c r="Q673" s="5"/>
    </row>
    <row r="674" spans="1:17" ht="46.5">
      <c r="A674" s="5">
        <v>669</v>
      </c>
      <c r="B674" s="6" t="s">
        <v>16</v>
      </c>
      <c r="C674" s="5" t="str">
        <f>HYPERLINK("http://data.overheid.nl/data/dataset/hoogtegegevens-kribben-maas-2009","Hoogtegegevens kribben Maas 2009")</f>
        <v>Hoogtegegevens kribben Maas 2009</v>
      </c>
      <c r="D674" s="6" t="s">
        <v>17</v>
      </c>
      <c r="E674" s="5" t="s">
        <v>18</v>
      </c>
      <c r="F674" s="6" t="s">
        <v>813</v>
      </c>
      <c r="G674" s="5" t="s">
        <v>488</v>
      </c>
      <c r="H674" s="6" t="s">
        <v>20</v>
      </c>
      <c r="I674" s="5" t="s">
        <v>21</v>
      </c>
      <c r="J674" s="4" t="s">
        <v>22</v>
      </c>
      <c r="K674" s="2" t="s">
        <v>23</v>
      </c>
      <c r="L674" s="6" t="s">
        <v>24</v>
      </c>
      <c r="M674" s="5" t="s">
        <v>25</v>
      </c>
      <c r="N674" s="3" t="s">
        <v>26</v>
      </c>
      <c r="O674" s="5">
        <v>2</v>
      </c>
      <c r="P674" s="3" t="s">
        <v>23</v>
      </c>
      <c r="Q674" s="5"/>
    </row>
    <row r="675" spans="1:17" ht="77.5">
      <c r="A675" s="5">
        <v>670</v>
      </c>
      <c r="B675" s="6" t="s">
        <v>16</v>
      </c>
      <c r="C675" s="5" t="str">
        <f>HYPERLINK("http://data.overheid.nl/data/dataset/de-krw-waterlichamen-op-de-noordzee","De KRW-waterlichamen op de Noordzee.")</f>
        <v>De KRW-waterlichamen op de Noordzee.</v>
      </c>
      <c r="D675" s="6" t="s">
        <v>17</v>
      </c>
      <c r="E675" s="5" t="s">
        <v>18</v>
      </c>
      <c r="F675" s="6" t="s">
        <v>813</v>
      </c>
      <c r="G675" s="5" t="s">
        <v>489</v>
      </c>
      <c r="H675" s="6" t="s">
        <v>20</v>
      </c>
      <c r="I675" s="5" t="s">
        <v>21</v>
      </c>
      <c r="J675" s="4" t="s">
        <v>22</v>
      </c>
      <c r="K675" s="2" t="s">
        <v>23</v>
      </c>
      <c r="L675" s="6" t="s">
        <v>24</v>
      </c>
      <c r="M675" s="5" t="s">
        <v>25</v>
      </c>
      <c r="N675" s="3" t="s">
        <v>26</v>
      </c>
      <c r="O675" s="5">
        <v>4</v>
      </c>
      <c r="P675" s="3" t="s">
        <v>23</v>
      </c>
      <c r="Q675" s="5"/>
    </row>
    <row r="676" spans="1:17" ht="77.5">
      <c r="A676" s="5">
        <v>671</v>
      </c>
      <c r="B676" s="6" t="s">
        <v>16</v>
      </c>
      <c r="C676" s="5" t="str">
        <f>HYPERLINK("http://data.overheid.nl/data/dataset/locaties-helicopterfotos-07-2009","Locaties helicopterfotos 07-2009")</f>
        <v>Locaties helicopterfotos 07-2009</v>
      </c>
      <c r="D676" s="6" t="s">
        <v>17</v>
      </c>
      <c r="E676" s="5" t="s">
        <v>18</v>
      </c>
      <c r="F676" s="6" t="s">
        <v>813</v>
      </c>
      <c r="G676" s="5" t="s">
        <v>490</v>
      </c>
      <c r="H676" s="6" t="s">
        <v>20</v>
      </c>
      <c r="I676" s="5" t="s">
        <v>21</v>
      </c>
      <c r="J676" s="4" t="s">
        <v>22</v>
      </c>
      <c r="K676" s="2" t="s">
        <v>23</v>
      </c>
      <c r="L676" s="6" t="s">
        <v>24</v>
      </c>
      <c r="M676" s="5" t="s">
        <v>25</v>
      </c>
      <c r="N676" s="3" t="s">
        <v>26</v>
      </c>
      <c r="O676" s="5">
        <v>2</v>
      </c>
      <c r="P676" s="3" t="s">
        <v>23</v>
      </c>
      <c r="Q676" s="5"/>
    </row>
    <row r="677" spans="1:17" ht="155">
      <c r="A677" s="5">
        <v>672</v>
      </c>
      <c r="B677" s="6" t="s">
        <v>16</v>
      </c>
      <c r="C677" s="5" t="str">
        <f>HYPERLINK("http://data.overheid.nl/data/dataset/windparken-op-het-nederlands-continentaal-plat","Windparken op het Nederlands Continentaal Plat")</f>
        <v>Windparken op het Nederlands Continentaal Plat</v>
      </c>
      <c r="D677" s="6" t="s">
        <v>17</v>
      </c>
      <c r="E677" s="5" t="s">
        <v>18</v>
      </c>
      <c r="F677" s="6" t="s">
        <v>813</v>
      </c>
      <c r="G677" s="5" t="s">
        <v>491</v>
      </c>
      <c r="H677" s="6" t="s">
        <v>20</v>
      </c>
      <c r="I677" s="5" t="s">
        <v>21</v>
      </c>
      <c r="J677" s="4" t="s">
        <v>22</v>
      </c>
      <c r="K677" s="2" t="s">
        <v>23</v>
      </c>
      <c r="L677" s="6" t="s">
        <v>24</v>
      </c>
      <c r="M677" s="5" t="s">
        <v>25</v>
      </c>
      <c r="N677" s="3" t="s">
        <v>26</v>
      </c>
      <c r="O677" s="5">
        <v>4</v>
      </c>
      <c r="P677" s="3" t="s">
        <v>23</v>
      </c>
      <c r="Q677" s="5"/>
    </row>
    <row r="678" spans="1:17" ht="77.5">
      <c r="A678" s="5">
        <v>673</v>
      </c>
      <c r="B678" s="6" t="s">
        <v>16</v>
      </c>
      <c r="C678" s="5" t="str">
        <f>HYPERLINK("http://data.overheid.nl/data/dataset/overzicht-vlieglijnen-westerschelde-2006","Overzicht vlieglijnen Westerschelde 2006")</f>
        <v>Overzicht vlieglijnen Westerschelde 2006</v>
      </c>
      <c r="D678" s="6" t="s">
        <v>17</v>
      </c>
      <c r="E678" s="5" t="s">
        <v>18</v>
      </c>
      <c r="F678" s="6" t="s">
        <v>813</v>
      </c>
      <c r="G678" s="5" t="s">
        <v>492</v>
      </c>
      <c r="H678" s="6" t="s">
        <v>20</v>
      </c>
      <c r="I678" s="5" t="s">
        <v>21</v>
      </c>
      <c r="J678" s="4" t="s">
        <v>22</v>
      </c>
      <c r="K678" s="2" t="s">
        <v>23</v>
      </c>
      <c r="L678" s="6" t="s">
        <v>24</v>
      </c>
      <c r="M678" s="5" t="s">
        <v>25</v>
      </c>
      <c r="N678" s="3" t="s">
        <v>26</v>
      </c>
      <c r="O678" s="5">
        <v>2</v>
      </c>
      <c r="P678" s="3" t="s">
        <v>23</v>
      </c>
      <c r="Q678" s="5"/>
    </row>
    <row r="679" spans="1:17" ht="46.5">
      <c r="A679" s="5">
        <v>674</v>
      </c>
      <c r="B679" s="6" t="s">
        <v>16</v>
      </c>
      <c r="C679" s="5" t="str">
        <f>HYPERLINK("http://data.overheid.nl/data/dataset/kwaliteit-kunstwerken-2011","Kwaliteit kunstwerken 2011")</f>
        <v>Kwaliteit kunstwerken 2011</v>
      </c>
      <c r="D679" s="6" t="s">
        <v>17</v>
      </c>
      <c r="E679" s="5" t="s">
        <v>18</v>
      </c>
      <c r="F679" s="6" t="s">
        <v>813</v>
      </c>
      <c r="G679" s="5" t="s">
        <v>200</v>
      </c>
      <c r="H679" s="6" t="s">
        <v>20</v>
      </c>
      <c r="I679" s="5" t="s">
        <v>21</v>
      </c>
      <c r="J679" s="4" t="s">
        <v>22</v>
      </c>
      <c r="K679" s="2" t="s">
        <v>23</v>
      </c>
      <c r="L679" s="6" t="s">
        <v>24</v>
      </c>
      <c r="M679" s="5" t="s">
        <v>25</v>
      </c>
      <c r="N679" s="3" t="s">
        <v>26</v>
      </c>
      <c r="O679" s="5">
        <v>6</v>
      </c>
      <c r="P679" s="3" t="s">
        <v>23</v>
      </c>
      <c r="Q679" s="5"/>
    </row>
    <row r="680" spans="1:17" ht="46.5">
      <c r="A680" s="5">
        <v>675</v>
      </c>
      <c r="B680" s="6" t="s">
        <v>16</v>
      </c>
      <c r="C680" s="5" t="str">
        <f>HYPERLINK("http://data.overheid.nl/data/dataset/locaties-helicopterfotos-20121106","Locaties helicopterfotos 20121106")</f>
        <v>Locaties helicopterfotos 20121106</v>
      </c>
      <c r="D680" s="6" t="s">
        <v>17</v>
      </c>
      <c r="E680" s="5" t="s">
        <v>18</v>
      </c>
      <c r="F680" s="6" t="s">
        <v>813</v>
      </c>
      <c r="G680" s="5" t="s">
        <v>493</v>
      </c>
      <c r="H680" s="6" t="s">
        <v>20</v>
      </c>
      <c r="I680" s="5" t="s">
        <v>21</v>
      </c>
      <c r="J680" s="4" t="s">
        <v>22</v>
      </c>
      <c r="K680" s="2" t="s">
        <v>23</v>
      </c>
      <c r="L680" s="6" t="s">
        <v>24</v>
      </c>
      <c r="M680" s="5" t="s">
        <v>25</v>
      </c>
      <c r="N680" s="3" t="s">
        <v>26</v>
      </c>
      <c r="O680" s="5">
        <v>2</v>
      </c>
      <c r="P680" s="3" t="s">
        <v>23</v>
      </c>
      <c r="Q680" s="5"/>
    </row>
    <row r="681" spans="1:17" ht="62">
      <c r="A681" s="5">
        <v>676</v>
      </c>
      <c r="B681" s="6" t="s">
        <v>16</v>
      </c>
      <c r="C681" s="5" t="str">
        <f>HYPERLINK("http://data.overheid.nl/data/dataset/overzicht-vlieglijnen-westerschelde-2012","Overzicht vlieglijnen Westerschelde 2012")</f>
        <v>Overzicht vlieglijnen Westerschelde 2012</v>
      </c>
      <c r="D681" s="6" t="s">
        <v>17</v>
      </c>
      <c r="E681" s="5" t="s">
        <v>18</v>
      </c>
      <c r="F681" s="6" t="s">
        <v>813</v>
      </c>
      <c r="G681" s="5" t="s">
        <v>494</v>
      </c>
      <c r="H681" s="6" t="s">
        <v>20</v>
      </c>
      <c r="I681" s="5" t="s">
        <v>21</v>
      </c>
      <c r="J681" s="4" t="s">
        <v>22</v>
      </c>
      <c r="K681" s="2" t="s">
        <v>23</v>
      </c>
      <c r="L681" s="6" t="s">
        <v>24</v>
      </c>
      <c r="M681" s="5" t="s">
        <v>25</v>
      </c>
      <c r="N681" s="3" t="s">
        <v>26</v>
      </c>
      <c r="O681" s="5">
        <v>2</v>
      </c>
      <c r="P681" s="3" t="s">
        <v>23</v>
      </c>
      <c r="Q681" s="5"/>
    </row>
    <row r="682" spans="1:17" ht="62">
      <c r="A682" s="5">
        <v>677</v>
      </c>
      <c r="B682" s="6" t="s">
        <v>16</v>
      </c>
      <c r="C682" s="5" t="str">
        <f>HYPERLINK("http://data.overheid.nl/data/dataset/locaties-helicopterfotos-20100726","Locaties helicopterfotos 20100726")</f>
        <v>Locaties helicopterfotos 20100726</v>
      </c>
      <c r="D682" s="6" t="s">
        <v>17</v>
      </c>
      <c r="E682" s="5" t="s">
        <v>18</v>
      </c>
      <c r="F682" s="6" t="s">
        <v>813</v>
      </c>
      <c r="G682" s="5" t="s">
        <v>495</v>
      </c>
      <c r="H682" s="6" t="s">
        <v>20</v>
      </c>
      <c r="I682" s="5" t="s">
        <v>21</v>
      </c>
      <c r="J682" s="4" t="s">
        <v>22</v>
      </c>
      <c r="K682" s="2" t="s">
        <v>23</v>
      </c>
      <c r="L682" s="6" t="s">
        <v>24</v>
      </c>
      <c r="M682" s="5" t="s">
        <v>25</v>
      </c>
      <c r="N682" s="3" t="s">
        <v>26</v>
      </c>
      <c r="O682" s="5">
        <v>2</v>
      </c>
      <c r="P682" s="3" t="s">
        <v>23</v>
      </c>
      <c r="Q682" s="5"/>
    </row>
    <row r="683" spans="1:17" ht="217">
      <c r="A683" s="5">
        <v>678</v>
      </c>
      <c r="B683" s="6" t="s">
        <v>16</v>
      </c>
      <c r="C683" s="5" t="str">
        <f>HYPERLINK("http://data.overheid.nl/data/dataset/bodemdiepte-zeeland","Bodemdiepte Zeeland")</f>
        <v>Bodemdiepte Zeeland</v>
      </c>
      <c r="D683" s="6" t="s">
        <v>17</v>
      </c>
      <c r="E683" s="5" t="s">
        <v>18</v>
      </c>
      <c r="F683" s="6" t="s">
        <v>813</v>
      </c>
      <c r="G683" s="5" t="s">
        <v>496</v>
      </c>
      <c r="H683" s="6" t="s">
        <v>28</v>
      </c>
      <c r="I683" s="5" t="s">
        <v>21</v>
      </c>
      <c r="J683" s="4" t="s">
        <v>22</v>
      </c>
      <c r="K683" s="2" t="s">
        <v>23</v>
      </c>
      <c r="L683" s="6" t="s">
        <v>24</v>
      </c>
      <c r="M683" s="5" t="s">
        <v>25</v>
      </c>
      <c r="N683" s="3" t="s">
        <v>26</v>
      </c>
      <c r="O683" s="5">
        <v>2</v>
      </c>
      <c r="P683" s="3" t="s">
        <v>23</v>
      </c>
      <c r="Q683" s="5"/>
    </row>
    <row r="684" spans="1:17" ht="62">
      <c r="A684" s="5">
        <v>679</v>
      </c>
      <c r="B684" s="6" t="s">
        <v>16</v>
      </c>
      <c r="C684" s="5" t="str">
        <f>HYPERLINK("http://data.overheid.nl/data/dataset/locaties-helicopterfotos-09-2009","Locaties helicopterfotos 09-2009")</f>
        <v>Locaties helicopterfotos 09-2009</v>
      </c>
      <c r="D684" s="6" t="s">
        <v>17</v>
      </c>
      <c r="E684" s="5" t="s">
        <v>18</v>
      </c>
      <c r="F684" s="6" t="s">
        <v>813</v>
      </c>
      <c r="G684" s="5" t="s">
        <v>497</v>
      </c>
      <c r="H684" s="6" t="s">
        <v>20</v>
      </c>
      <c r="I684" s="5" t="s">
        <v>21</v>
      </c>
      <c r="J684" s="4" t="s">
        <v>22</v>
      </c>
      <c r="K684" s="2" t="s">
        <v>23</v>
      </c>
      <c r="L684" s="6" t="s">
        <v>24</v>
      </c>
      <c r="M684" s="5" t="s">
        <v>25</v>
      </c>
      <c r="N684" s="3" t="s">
        <v>26</v>
      </c>
      <c r="O684" s="5">
        <v>2</v>
      </c>
      <c r="P684" s="3" t="s">
        <v>23</v>
      </c>
      <c r="Q684" s="5"/>
    </row>
    <row r="685" spans="1:17" ht="77.5">
      <c r="A685" s="5">
        <v>680</v>
      </c>
      <c r="B685" s="6" t="s">
        <v>16</v>
      </c>
      <c r="C685" s="5" t="str">
        <f>HYPERLINK("http://data.overheid.nl/data/dataset/overzicht-vlieglijnen-kust-2011-2","Overzicht vlieglijnen kust 2011 2")</f>
        <v>Overzicht vlieglijnen kust 2011 2</v>
      </c>
      <c r="D685" s="6" t="s">
        <v>17</v>
      </c>
      <c r="E685" s="5" t="s">
        <v>18</v>
      </c>
      <c r="F685" s="6" t="s">
        <v>813</v>
      </c>
      <c r="G685" s="5" t="s">
        <v>498</v>
      </c>
      <c r="H685" s="6" t="s">
        <v>20</v>
      </c>
      <c r="I685" s="5" t="s">
        <v>21</v>
      </c>
      <c r="J685" s="4" t="s">
        <v>22</v>
      </c>
      <c r="K685" s="2" t="s">
        <v>23</v>
      </c>
      <c r="L685" s="6" t="s">
        <v>24</v>
      </c>
      <c r="M685" s="5" t="s">
        <v>25</v>
      </c>
      <c r="N685" s="3" t="s">
        <v>26</v>
      </c>
      <c r="O685" s="5">
        <v>2</v>
      </c>
      <c r="P685" s="3" t="s">
        <v>23</v>
      </c>
      <c r="Q685" s="5"/>
    </row>
    <row r="686" spans="1:17" ht="62">
      <c r="A686" s="5">
        <v>681</v>
      </c>
      <c r="B686" s="6" t="s">
        <v>16</v>
      </c>
      <c r="C686" s="5" t="str">
        <f>HYPERLINK("http://data.overheid.nl/data/dataset/kust-zuid-holland-zandmotor-2011","Kust Zuid-Holland Zandmotor 2011")</f>
        <v>Kust Zuid-Holland Zandmotor 2011</v>
      </c>
      <c r="D686" s="6" t="s">
        <v>17</v>
      </c>
      <c r="E686" s="5" t="s">
        <v>18</v>
      </c>
      <c r="F686" s="6" t="s">
        <v>813</v>
      </c>
      <c r="G686" s="5" t="s">
        <v>499</v>
      </c>
      <c r="H686" s="6" t="s">
        <v>20</v>
      </c>
      <c r="I686" s="5" t="s">
        <v>21</v>
      </c>
      <c r="J686" s="4" t="s">
        <v>22</v>
      </c>
      <c r="K686" s="2" t="s">
        <v>23</v>
      </c>
      <c r="L686" s="6" t="s">
        <v>24</v>
      </c>
      <c r="M686" s="5" t="s">
        <v>25</v>
      </c>
      <c r="N686" s="3" t="s">
        <v>26</v>
      </c>
      <c r="O686" s="5">
        <v>2</v>
      </c>
      <c r="P686" s="3" t="s">
        <v>23</v>
      </c>
      <c r="Q686" s="5"/>
    </row>
    <row r="687" spans="1:17" ht="46.5">
      <c r="A687" s="5">
        <v>682</v>
      </c>
      <c r="B687" s="6" t="s">
        <v>16</v>
      </c>
      <c r="C687" s="5" t="str">
        <f>HYPERLINK("http://data.overheid.nl/data/dataset/overzicht-vlieglijnen-kust-2015","Overzicht vlieglijnen kust 2015")</f>
        <v>Overzicht vlieglijnen kust 2015</v>
      </c>
      <c r="D687" s="6" t="s">
        <v>17</v>
      </c>
      <c r="E687" s="5" t="s">
        <v>18</v>
      </c>
      <c r="F687" s="6" t="s">
        <v>813</v>
      </c>
      <c r="G687" s="5" t="s">
        <v>500</v>
      </c>
      <c r="H687" s="6" t="s">
        <v>20</v>
      </c>
      <c r="I687" s="5" t="s">
        <v>21</v>
      </c>
      <c r="J687" s="4" t="s">
        <v>22</v>
      </c>
      <c r="K687" s="2" t="s">
        <v>23</v>
      </c>
      <c r="L687" s="6" t="s">
        <v>24</v>
      </c>
      <c r="M687" s="5" t="s">
        <v>25</v>
      </c>
      <c r="N687" s="3" t="s">
        <v>26</v>
      </c>
      <c r="O687" s="5">
        <v>4</v>
      </c>
      <c r="P687" s="3" t="s">
        <v>23</v>
      </c>
      <c r="Q687" s="5"/>
    </row>
    <row r="688" spans="1:17" ht="46.5">
      <c r="A688" s="5">
        <v>683</v>
      </c>
      <c r="B688" s="6" t="s">
        <v>16</v>
      </c>
      <c r="C688" s="5" t="str">
        <f>HYPERLINK("http://data.overheid.nl/data/dataset/hoogtegegevens-kust-2015-2m-grid","Hoogtegegevens kust 2015 (2m grid)")</f>
        <v>Hoogtegegevens kust 2015 (2m grid)</v>
      </c>
      <c r="D688" s="6" t="s">
        <v>17</v>
      </c>
      <c r="E688" s="5" t="s">
        <v>18</v>
      </c>
      <c r="F688" s="6" t="s">
        <v>813</v>
      </c>
      <c r="G688" s="5" t="s">
        <v>501</v>
      </c>
      <c r="H688" s="6" t="s">
        <v>20</v>
      </c>
      <c r="I688" s="5" t="s">
        <v>21</v>
      </c>
      <c r="J688" s="4" t="s">
        <v>22</v>
      </c>
      <c r="K688" s="2" t="s">
        <v>23</v>
      </c>
      <c r="L688" s="6" t="s">
        <v>24</v>
      </c>
      <c r="M688" s="5" t="s">
        <v>25</v>
      </c>
      <c r="N688" s="3" t="s">
        <v>26</v>
      </c>
      <c r="O688" s="5">
        <v>4</v>
      </c>
      <c r="P688" s="3" t="s">
        <v>23</v>
      </c>
      <c r="Q688" s="5"/>
    </row>
    <row r="689" spans="1:17" ht="139.5">
      <c r="A689" s="5">
        <v>684</v>
      </c>
      <c r="B689" s="6" t="s">
        <v>16</v>
      </c>
      <c r="C689" s="5" t="str">
        <f>HYPERLINK("http://data.overheid.nl/data/dataset/hoogtegegevens-kust-2012","Hoogtegegevens kust 2012")</f>
        <v>Hoogtegegevens kust 2012</v>
      </c>
      <c r="D689" s="6" t="s">
        <v>17</v>
      </c>
      <c r="E689" s="5" t="s">
        <v>18</v>
      </c>
      <c r="F689" s="6" t="s">
        <v>813</v>
      </c>
      <c r="G689" s="5" t="s">
        <v>502</v>
      </c>
      <c r="H689" s="6" t="s">
        <v>20</v>
      </c>
      <c r="I689" s="5" t="s">
        <v>21</v>
      </c>
      <c r="J689" s="4" t="s">
        <v>22</v>
      </c>
      <c r="K689" s="2" t="s">
        <v>23</v>
      </c>
      <c r="L689" s="6" t="s">
        <v>24</v>
      </c>
      <c r="M689" s="5" t="s">
        <v>25</v>
      </c>
      <c r="N689" s="3" t="s">
        <v>26</v>
      </c>
      <c r="O689" s="5">
        <v>4</v>
      </c>
      <c r="P689" s="3" t="s">
        <v>23</v>
      </c>
      <c r="Q689" s="5"/>
    </row>
    <row r="690" spans="1:17" ht="31">
      <c r="A690" s="5">
        <v>685</v>
      </c>
      <c r="B690" s="6" t="s">
        <v>16</v>
      </c>
      <c r="C690" s="5" t="str">
        <f>HYPERLINK("http://data.overheid.nl/data/dataset/locaties-helicopterfotos-05-2009","Locaties helicopterfotos 05-2009")</f>
        <v>Locaties helicopterfotos 05-2009</v>
      </c>
      <c r="D690" s="6" t="s">
        <v>17</v>
      </c>
      <c r="E690" s="5" t="s">
        <v>18</v>
      </c>
      <c r="F690" s="6" t="s">
        <v>813</v>
      </c>
      <c r="G690" s="5" t="s">
        <v>503</v>
      </c>
      <c r="H690" s="6" t="s">
        <v>20</v>
      </c>
      <c r="I690" s="5" t="s">
        <v>21</v>
      </c>
      <c r="J690" s="4" t="s">
        <v>22</v>
      </c>
      <c r="K690" s="2" t="s">
        <v>23</v>
      </c>
      <c r="L690" s="6" t="s">
        <v>24</v>
      </c>
      <c r="M690" s="5" t="s">
        <v>25</v>
      </c>
      <c r="N690" s="3" t="s">
        <v>26</v>
      </c>
      <c r="O690" s="5">
        <v>2</v>
      </c>
      <c r="P690" s="3" t="s">
        <v>23</v>
      </c>
      <c r="Q690" s="5"/>
    </row>
    <row r="691" spans="1:17" ht="46.5">
      <c r="A691" s="5">
        <v>686</v>
      </c>
      <c r="B691" s="6" t="s">
        <v>16</v>
      </c>
      <c r="C691" s="5" t="str">
        <f>HYPERLINK("http://data.overheid.nl/data/dataset/kwaliteit-kunstwerken-2007","Kwaliteit Kunstwerken 2007")</f>
        <v>Kwaliteit Kunstwerken 2007</v>
      </c>
      <c r="D691" s="6" t="s">
        <v>17</v>
      </c>
      <c r="E691" s="5" t="s">
        <v>18</v>
      </c>
      <c r="F691" s="6" t="s">
        <v>813</v>
      </c>
      <c r="G691" s="5" t="s">
        <v>200</v>
      </c>
      <c r="H691" s="6" t="s">
        <v>20</v>
      </c>
      <c r="I691" s="5" t="s">
        <v>21</v>
      </c>
      <c r="J691" s="4" t="s">
        <v>22</v>
      </c>
      <c r="K691" s="2" t="s">
        <v>23</v>
      </c>
      <c r="L691" s="6" t="s">
        <v>24</v>
      </c>
      <c r="M691" s="5" t="s">
        <v>25</v>
      </c>
      <c r="N691" s="3" t="s">
        <v>26</v>
      </c>
      <c r="O691" s="5">
        <v>6</v>
      </c>
      <c r="P691" s="3" t="s">
        <v>23</v>
      </c>
      <c r="Q691" s="5"/>
    </row>
    <row r="692" spans="1:17" ht="31">
      <c r="A692" s="5">
        <v>687</v>
      </c>
      <c r="B692" s="6" t="s">
        <v>16</v>
      </c>
      <c r="C692" s="5" t="str">
        <f>HYPERLINK("http://data.overheid.nl/data/dataset/zeemonumenten","Zeemonumenten")</f>
        <v>Zeemonumenten</v>
      </c>
      <c r="D692" s="6" t="s">
        <v>17</v>
      </c>
      <c r="E692" s="5" t="s">
        <v>18</v>
      </c>
      <c r="F692" s="6" t="s">
        <v>813</v>
      </c>
      <c r="G692" s="5" t="s">
        <v>504</v>
      </c>
      <c r="H692" s="6" t="s">
        <v>20</v>
      </c>
      <c r="I692" s="5" t="s">
        <v>21</v>
      </c>
      <c r="J692" s="4" t="s">
        <v>22</v>
      </c>
      <c r="K692" s="2" t="s">
        <v>23</v>
      </c>
      <c r="L692" s="6" t="s">
        <v>24</v>
      </c>
      <c r="M692" s="5" t="s">
        <v>25</v>
      </c>
      <c r="N692" s="3" t="s">
        <v>26</v>
      </c>
      <c r="O692" s="5">
        <v>2</v>
      </c>
      <c r="P692" s="3" t="s">
        <v>23</v>
      </c>
      <c r="Q692" s="5"/>
    </row>
    <row r="693" spans="1:17" ht="31">
      <c r="A693" s="5">
        <v>688</v>
      </c>
      <c r="B693" s="6" t="s">
        <v>16</v>
      </c>
      <c r="C693" s="5" t="str">
        <f>HYPERLINK("http://data.overheid.nl/data/dataset/maritieme-zones-op-het-nederlands-continentaal-plat","Maritieme zones op het Nederlands Continentaal Plat")</f>
        <v>Maritieme zones op het Nederlands Continentaal Plat</v>
      </c>
      <c r="D693" s="6" t="s">
        <v>17</v>
      </c>
      <c r="E693" s="5" t="s">
        <v>18</v>
      </c>
      <c r="F693" s="6" t="s">
        <v>813</v>
      </c>
      <c r="G693" s="5" t="s">
        <v>505</v>
      </c>
      <c r="H693" s="6" t="s">
        <v>20</v>
      </c>
      <c r="I693" s="5" t="s">
        <v>21</v>
      </c>
      <c r="J693" s="4" t="s">
        <v>22</v>
      </c>
      <c r="K693" s="2" t="s">
        <v>23</v>
      </c>
      <c r="L693" s="6" t="s">
        <v>24</v>
      </c>
      <c r="M693" s="5" t="s">
        <v>25</v>
      </c>
      <c r="N693" s="3" t="s">
        <v>26</v>
      </c>
      <c r="O693" s="5">
        <v>12</v>
      </c>
      <c r="P693" s="3" t="s">
        <v>23</v>
      </c>
      <c r="Q693" s="5"/>
    </row>
    <row r="694" spans="1:17" ht="31">
      <c r="A694" s="5">
        <v>689</v>
      </c>
      <c r="B694" s="6" t="s">
        <v>16</v>
      </c>
      <c r="C694" s="5" t="str">
        <f>HYPERLINK("http://data.overheid.nl/data/dataset/maritieme-grenzen-op-het-nederlands-continentaal-plat","Maritieme grenzen op het Nederlands Continentaal Plat")</f>
        <v>Maritieme grenzen op het Nederlands Continentaal Plat</v>
      </c>
      <c r="D694" s="6" t="s">
        <v>17</v>
      </c>
      <c r="E694" s="5" t="s">
        <v>18</v>
      </c>
      <c r="F694" s="6" t="s">
        <v>813</v>
      </c>
      <c r="G694" s="5" t="s">
        <v>506</v>
      </c>
      <c r="H694" s="6" t="s">
        <v>20</v>
      </c>
      <c r="I694" s="5" t="s">
        <v>21</v>
      </c>
      <c r="J694" s="4" t="s">
        <v>22</v>
      </c>
      <c r="K694" s="2" t="s">
        <v>23</v>
      </c>
      <c r="L694" s="6" t="s">
        <v>24</v>
      </c>
      <c r="M694" s="5" t="s">
        <v>25</v>
      </c>
      <c r="N694" s="3" t="s">
        <v>26</v>
      </c>
      <c r="O694" s="5">
        <v>12</v>
      </c>
      <c r="P694" s="3" t="s">
        <v>23</v>
      </c>
      <c r="Q694" s="5"/>
    </row>
    <row r="695" spans="1:17" ht="31">
      <c r="A695" s="5">
        <v>690</v>
      </c>
      <c r="B695" s="6" t="s">
        <v>16</v>
      </c>
      <c r="C695" s="5" t="str">
        <f>HYPERLINK("http://data.overheid.nl/data/dataset/kleinschalige-vergunningen-op-de-noordzee","Kleinschalige vergunningen op de Noordzee")</f>
        <v>Kleinschalige vergunningen op de Noordzee</v>
      </c>
      <c r="D695" s="6" t="s">
        <v>17</v>
      </c>
      <c r="E695" s="5" t="s">
        <v>18</v>
      </c>
      <c r="F695" s="6" t="s">
        <v>813</v>
      </c>
      <c r="G695" s="5" t="s">
        <v>507</v>
      </c>
      <c r="H695" s="6" t="s">
        <v>20</v>
      </c>
      <c r="I695" s="5" t="s">
        <v>21</v>
      </c>
      <c r="J695" s="4" t="s">
        <v>22</v>
      </c>
      <c r="K695" s="2" t="s">
        <v>23</v>
      </c>
      <c r="L695" s="6" t="s">
        <v>24</v>
      </c>
      <c r="M695" s="5" t="s">
        <v>25</v>
      </c>
      <c r="N695" s="3" t="s">
        <v>26</v>
      </c>
      <c r="O695" s="5">
        <v>4</v>
      </c>
      <c r="P695" s="3" t="s">
        <v>23</v>
      </c>
      <c r="Q695" s="5"/>
    </row>
    <row r="696" spans="1:17" ht="31">
      <c r="A696" s="5">
        <v>691</v>
      </c>
      <c r="B696" s="6" t="s">
        <v>16</v>
      </c>
      <c r="C696" s="5" t="str">
        <f>HYPERLINK("http://data.overheid.nl/data/dataset/indeling-beschutte-gebieden-lijn","Indeling beschutte gebieden (lijn)")</f>
        <v>Indeling beschutte gebieden (lijn)</v>
      </c>
      <c r="D696" s="6" t="s">
        <v>17</v>
      </c>
      <c r="E696" s="5" t="s">
        <v>18</v>
      </c>
      <c r="F696" s="6" t="s">
        <v>813</v>
      </c>
      <c r="G696" s="5" t="s">
        <v>508</v>
      </c>
      <c r="H696" s="6" t="s">
        <v>20</v>
      </c>
      <c r="I696" s="5" t="s">
        <v>21</v>
      </c>
      <c r="J696" s="4" t="s">
        <v>22</v>
      </c>
      <c r="K696" s="2" t="s">
        <v>23</v>
      </c>
      <c r="L696" s="6" t="s">
        <v>24</v>
      </c>
      <c r="M696" s="5" t="s">
        <v>25</v>
      </c>
      <c r="N696" s="3" t="s">
        <v>26</v>
      </c>
      <c r="O696" s="5">
        <v>2</v>
      </c>
      <c r="P696" s="3" t="s">
        <v>23</v>
      </c>
      <c r="Q696" s="5"/>
    </row>
    <row r="697" spans="1:17" ht="46.5">
      <c r="A697" s="5">
        <v>692</v>
      </c>
      <c r="B697" s="6" t="s">
        <v>16</v>
      </c>
      <c r="C697" s="5" t="str">
        <f>HYPERLINK("http://data.overheid.nl/data/dataset/as-hectometrering-brabantse-en-midden-limburgse-kanalen","As-hectometrering Brabantse en Midden-Limburgse Kanalen")</f>
        <v>As-hectometrering Brabantse en Midden-Limburgse Kanalen</v>
      </c>
      <c r="D697" s="6" t="s">
        <v>17</v>
      </c>
      <c r="E697" s="5" t="s">
        <v>18</v>
      </c>
      <c r="F697" s="6" t="s">
        <v>813</v>
      </c>
      <c r="G697" s="5" t="s">
        <v>509</v>
      </c>
      <c r="H697" s="6" t="s">
        <v>20</v>
      </c>
      <c r="I697" s="5" t="s">
        <v>21</v>
      </c>
      <c r="J697" s="4" t="s">
        <v>22</v>
      </c>
      <c r="K697" s="2" t="s">
        <v>23</v>
      </c>
      <c r="L697" s="6" t="s">
        <v>24</v>
      </c>
      <c r="M697" s="5" t="s">
        <v>25</v>
      </c>
      <c r="N697" s="3" t="s">
        <v>26</v>
      </c>
      <c r="O697" s="5">
        <v>2</v>
      </c>
      <c r="P697" s="3" t="s">
        <v>23</v>
      </c>
      <c r="Q697" s="5"/>
    </row>
    <row r="698" spans="1:17" ht="77.5">
      <c r="A698" s="5">
        <v>693</v>
      </c>
      <c r="B698" s="6" t="s">
        <v>16</v>
      </c>
      <c r="C698" s="5" t="str">
        <f>HYPERLINK("http://data.overheid.nl/data/dataset/bodemloket","Bodemloket")</f>
        <v>Bodemloket</v>
      </c>
      <c r="D698" s="6" t="s">
        <v>17</v>
      </c>
      <c r="E698" s="5" t="s">
        <v>510</v>
      </c>
      <c r="F698" s="6" t="s">
        <v>813</v>
      </c>
      <c r="G698" s="5" t="s">
        <v>511</v>
      </c>
      <c r="H698" s="6" t="s">
        <v>28</v>
      </c>
      <c r="I698" s="5" t="s">
        <v>21</v>
      </c>
      <c r="J698" s="4" t="s">
        <v>22</v>
      </c>
      <c r="K698" s="2" t="s">
        <v>23</v>
      </c>
      <c r="L698" s="6" t="s">
        <v>24</v>
      </c>
      <c r="M698" s="5" t="s">
        <v>25</v>
      </c>
      <c r="N698" s="3" t="s">
        <v>26</v>
      </c>
      <c r="O698" s="5">
        <v>1</v>
      </c>
      <c r="P698" s="3" t="s">
        <v>23</v>
      </c>
      <c r="Q698" s="5"/>
    </row>
    <row r="699" spans="1:17" ht="46.5">
      <c r="A699" s="5">
        <v>694</v>
      </c>
      <c r="B699" s="6" t="s">
        <v>16</v>
      </c>
      <c r="C699" s="5" t="str">
        <f>HYPERLINK("http://data.overheid.nl/data/dataset/algemeen-dieptebestand-ijsselmeergebied-2013","Algemeen Dieptebestand IJsselmeergebied 2013")</f>
        <v>Algemeen Dieptebestand IJsselmeergebied 2013</v>
      </c>
      <c r="D699" s="6" t="s">
        <v>17</v>
      </c>
      <c r="E699" s="5" t="s">
        <v>18</v>
      </c>
      <c r="F699" s="6" t="s">
        <v>813</v>
      </c>
      <c r="G699" s="5" t="s">
        <v>512</v>
      </c>
      <c r="H699" s="6" t="s">
        <v>20</v>
      </c>
      <c r="I699" s="5" t="s">
        <v>21</v>
      </c>
      <c r="J699" s="4" t="s">
        <v>22</v>
      </c>
      <c r="K699" s="2" t="s">
        <v>23</v>
      </c>
      <c r="L699" s="6" t="s">
        <v>24</v>
      </c>
      <c r="M699" s="5" t="s">
        <v>25</v>
      </c>
      <c r="N699" s="3" t="s">
        <v>26</v>
      </c>
      <c r="O699" s="5">
        <v>2</v>
      </c>
      <c r="P699" s="3" t="s">
        <v>23</v>
      </c>
      <c r="Q699" s="5"/>
    </row>
    <row r="700" spans="1:17" ht="62">
      <c r="A700" s="5">
        <v>695</v>
      </c>
      <c r="B700" s="6" t="s">
        <v>16</v>
      </c>
      <c r="C700" s="5" t="str">
        <f>HYPERLINK("http://data.overheid.nl/data/dataset/overzicht-vlieglijnen-westerschelde-2009","Overzicht vlieglijnen Westerschelde 2009")</f>
        <v>Overzicht vlieglijnen Westerschelde 2009</v>
      </c>
      <c r="D700" s="6" t="s">
        <v>17</v>
      </c>
      <c r="E700" s="5" t="s">
        <v>18</v>
      </c>
      <c r="F700" s="6" t="s">
        <v>813</v>
      </c>
      <c r="G700" s="5" t="s">
        <v>513</v>
      </c>
      <c r="H700" s="6" t="s">
        <v>20</v>
      </c>
      <c r="I700" s="5" t="s">
        <v>21</v>
      </c>
      <c r="J700" s="4" t="s">
        <v>22</v>
      </c>
      <c r="K700" s="2" t="s">
        <v>23</v>
      </c>
      <c r="L700" s="6" t="s">
        <v>24</v>
      </c>
      <c r="M700" s="5" t="s">
        <v>25</v>
      </c>
      <c r="N700" s="3" t="s">
        <v>26</v>
      </c>
      <c r="O700" s="5">
        <v>2</v>
      </c>
      <c r="P700" s="3" t="s">
        <v>23</v>
      </c>
      <c r="Q700" s="5"/>
    </row>
    <row r="701" spans="1:17" ht="186">
      <c r="A701" s="5">
        <v>696</v>
      </c>
      <c r="B701" s="6" t="s">
        <v>16</v>
      </c>
      <c r="C701" s="5" t="str">
        <f>HYPERLINK("http://data.overheid.nl/data/dataset/hoogtebestand-westerschelde-2009","Hoogtebestand Westerschelde 2009")</f>
        <v>Hoogtebestand Westerschelde 2009</v>
      </c>
      <c r="D701" s="6" t="s">
        <v>17</v>
      </c>
      <c r="E701" s="5" t="s">
        <v>18</v>
      </c>
      <c r="F701" s="6" t="s">
        <v>813</v>
      </c>
      <c r="G701" s="5" t="s">
        <v>514</v>
      </c>
      <c r="H701" s="6" t="s">
        <v>20</v>
      </c>
      <c r="I701" s="5" t="s">
        <v>21</v>
      </c>
      <c r="J701" s="4" t="s">
        <v>22</v>
      </c>
      <c r="K701" s="2" t="s">
        <v>23</v>
      </c>
      <c r="L701" s="6" t="s">
        <v>24</v>
      </c>
      <c r="M701" s="5" t="s">
        <v>25</v>
      </c>
      <c r="N701" s="3" t="s">
        <v>26</v>
      </c>
      <c r="O701" s="5">
        <v>2</v>
      </c>
      <c r="P701" s="3" t="s">
        <v>23</v>
      </c>
      <c r="Q701" s="5"/>
    </row>
    <row r="702" spans="1:17" ht="77.5">
      <c r="A702" s="5">
        <v>697</v>
      </c>
      <c r="B702" s="6" t="s">
        <v>16</v>
      </c>
      <c r="C702" s="5" t="str">
        <f>HYPERLINK("http://data.overheid.nl/data/dataset/locaties-helicopterfotos-20140404","Locaties helicopterfotos 20140404")</f>
        <v>Locaties helicopterfotos 20140404</v>
      </c>
      <c r="D702" s="6" t="s">
        <v>17</v>
      </c>
      <c r="E702" s="5" t="s">
        <v>18</v>
      </c>
      <c r="F702" s="6" t="s">
        <v>813</v>
      </c>
      <c r="G702" s="5" t="s">
        <v>515</v>
      </c>
      <c r="H702" s="6" t="s">
        <v>28</v>
      </c>
      <c r="I702" s="5" t="s">
        <v>21</v>
      </c>
      <c r="J702" s="4" t="s">
        <v>22</v>
      </c>
      <c r="K702" s="2" t="s">
        <v>23</v>
      </c>
      <c r="L702" s="6" t="s">
        <v>24</v>
      </c>
      <c r="M702" s="5" t="s">
        <v>25</v>
      </c>
      <c r="N702" s="3" t="s">
        <v>26</v>
      </c>
      <c r="O702" s="5">
        <v>2</v>
      </c>
      <c r="P702" s="3" t="s">
        <v>23</v>
      </c>
      <c r="Q702" s="5"/>
    </row>
    <row r="703" spans="1:17" ht="46.5">
      <c r="A703" s="5">
        <v>698</v>
      </c>
      <c r="B703" s="6" t="s">
        <v>16</v>
      </c>
      <c r="C703" s="5" t="str">
        <f>HYPERLINK("http://data.overheid.nl/data/dataset/databestand-grootschalig-verkeersonderzoek-flevoland-2008","Databestand Grootschalig Verkeersonderzoek Flevoland 2008")</f>
        <v>Databestand Grootschalig Verkeersonderzoek Flevoland 2008</v>
      </c>
      <c r="D703" s="6" t="s">
        <v>17</v>
      </c>
      <c r="E703" s="5" t="s">
        <v>18</v>
      </c>
      <c r="F703" s="6" t="s">
        <v>813</v>
      </c>
      <c r="G703" s="5" t="s">
        <v>516</v>
      </c>
      <c r="H703" s="6" t="s">
        <v>20</v>
      </c>
      <c r="I703" s="5" t="s">
        <v>21</v>
      </c>
      <c r="J703" s="4" t="s">
        <v>22</v>
      </c>
      <c r="K703" s="2" t="s">
        <v>23</v>
      </c>
      <c r="L703" s="6" t="s">
        <v>24</v>
      </c>
      <c r="M703" s="5" t="s">
        <v>25</v>
      </c>
      <c r="N703" s="3" t="s">
        <v>26</v>
      </c>
      <c r="O703" s="5">
        <v>1</v>
      </c>
      <c r="P703" s="3" t="s">
        <v>23</v>
      </c>
      <c r="Q703" s="5"/>
    </row>
    <row r="704" spans="1:17" ht="31">
      <c r="A704" s="5">
        <v>699</v>
      </c>
      <c r="B704" s="6" t="s">
        <v>16</v>
      </c>
      <c r="C704" s="5" t="str">
        <f>HYPERLINK("http://data.overheid.nl/data/dataset/klimaatmonitor-database","Klimaatmonitor - Database")</f>
        <v>Klimaatmonitor - Database</v>
      </c>
      <c r="D704" s="6" t="s">
        <v>17</v>
      </c>
      <c r="E704" s="5" t="s">
        <v>18</v>
      </c>
      <c r="F704" s="6" t="s">
        <v>813</v>
      </c>
      <c r="G704" s="5" t="s">
        <v>517</v>
      </c>
      <c r="H704" s="6" t="s">
        <v>20</v>
      </c>
      <c r="I704" s="5" t="s">
        <v>21</v>
      </c>
      <c r="J704" s="4" t="s">
        <v>22</v>
      </c>
      <c r="K704" s="2" t="s">
        <v>23</v>
      </c>
      <c r="L704" s="6" t="s">
        <v>24</v>
      </c>
      <c r="M704" s="5" t="s">
        <v>25</v>
      </c>
      <c r="N704" s="3" t="s">
        <v>26</v>
      </c>
      <c r="O704" s="5">
        <v>2</v>
      </c>
      <c r="P704" s="3" t="s">
        <v>23</v>
      </c>
      <c r="Q704" s="5"/>
    </row>
    <row r="705" spans="1:17" ht="46.5">
      <c r="A705" s="5">
        <v>700</v>
      </c>
      <c r="B705" s="6" t="s">
        <v>16</v>
      </c>
      <c r="C705" s="5" t="str">
        <f>HYPERLINK("http://data.overheid.nl/data/dataset/overzicht-vlieglijnen-zandmotor-2014","Overzicht vlieglijnen zandmotor 2014")</f>
        <v>Overzicht vlieglijnen zandmotor 2014</v>
      </c>
      <c r="D705" s="6" t="s">
        <v>17</v>
      </c>
      <c r="E705" s="5" t="s">
        <v>18</v>
      </c>
      <c r="F705" s="6" t="s">
        <v>813</v>
      </c>
      <c r="G705" s="5" t="s">
        <v>518</v>
      </c>
      <c r="H705" s="6" t="s">
        <v>20</v>
      </c>
      <c r="I705" s="5" t="s">
        <v>21</v>
      </c>
      <c r="J705" s="4" t="s">
        <v>22</v>
      </c>
      <c r="K705" s="2" t="s">
        <v>23</v>
      </c>
      <c r="L705" s="6" t="s">
        <v>24</v>
      </c>
      <c r="M705" s="5" t="s">
        <v>25</v>
      </c>
      <c r="N705" s="3" t="s">
        <v>26</v>
      </c>
      <c r="O705" s="5">
        <v>2</v>
      </c>
      <c r="P705" s="3" t="s">
        <v>23</v>
      </c>
      <c r="Q705" s="5"/>
    </row>
    <row r="706" spans="1:17" ht="46.5">
      <c r="A706" s="5">
        <v>701</v>
      </c>
      <c r="B706" s="6" t="s">
        <v>16</v>
      </c>
      <c r="C706" s="5" t="str">
        <f>HYPERLINK("http://data.overheid.nl/data/dataset/kust-zuid-holland-zandmotor-2014","Kust Zuid-Holland Zandmotor 2014")</f>
        <v>Kust Zuid-Holland Zandmotor 2014</v>
      </c>
      <c r="D706" s="6" t="s">
        <v>17</v>
      </c>
      <c r="E706" s="5" t="s">
        <v>18</v>
      </c>
      <c r="F706" s="6" t="s">
        <v>813</v>
      </c>
      <c r="G706" s="5" t="s">
        <v>519</v>
      </c>
      <c r="H706" s="6" t="s">
        <v>20</v>
      </c>
      <c r="I706" s="5" t="s">
        <v>21</v>
      </c>
      <c r="J706" s="4" t="s">
        <v>22</v>
      </c>
      <c r="K706" s="2" t="s">
        <v>23</v>
      </c>
      <c r="L706" s="6" t="s">
        <v>24</v>
      </c>
      <c r="M706" s="5" t="s">
        <v>25</v>
      </c>
      <c r="N706" s="3" t="s">
        <v>26</v>
      </c>
      <c r="O706" s="5">
        <v>2</v>
      </c>
      <c r="P706" s="3" t="s">
        <v>23</v>
      </c>
      <c r="Q706" s="5"/>
    </row>
    <row r="707" spans="1:17" ht="62">
      <c r="A707" s="5">
        <v>702</v>
      </c>
      <c r="B707" s="6" t="s">
        <v>16</v>
      </c>
      <c r="C707" s="5" t="str">
        <f>HYPERLINK("http://data.overheid.nl/data/dataset/overzicht-vlieglijnen-kribben-lek-2011","Overzicht vlieglijnen kribben Lek 2011")</f>
        <v>Overzicht vlieglijnen kribben Lek 2011</v>
      </c>
      <c r="D707" s="6" t="s">
        <v>17</v>
      </c>
      <c r="E707" s="5" t="s">
        <v>18</v>
      </c>
      <c r="F707" s="6" t="s">
        <v>813</v>
      </c>
      <c r="G707" s="5" t="s">
        <v>195</v>
      </c>
      <c r="H707" s="6" t="s">
        <v>20</v>
      </c>
      <c r="I707" s="5" t="s">
        <v>21</v>
      </c>
      <c r="J707" s="4" t="s">
        <v>22</v>
      </c>
      <c r="K707" s="2" t="s">
        <v>23</v>
      </c>
      <c r="L707" s="6" t="s">
        <v>24</v>
      </c>
      <c r="M707" s="5" t="s">
        <v>25</v>
      </c>
      <c r="N707" s="3" t="s">
        <v>26</v>
      </c>
      <c r="O707" s="5">
        <v>2</v>
      </c>
      <c r="P707" s="3" t="s">
        <v>23</v>
      </c>
      <c r="Q707" s="5"/>
    </row>
    <row r="708" spans="1:17" ht="263.5">
      <c r="A708" s="5">
        <v>703</v>
      </c>
      <c r="B708" s="6" t="s">
        <v>16</v>
      </c>
      <c r="C708" s="5" t="str">
        <f>HYPERLINK("http://data.overheid.nl/data/dataset/locaties-helicopterfotos-20111003","Locaties helicopterfotos 20111003")</f>
        <v>Locaties helicopterfotos 20111003</v>
      </c>
      <c r="D708" s="6" t="s">
        <v>17</v>
      </c>
      <c r="E708" s="5" t="s">
        <v>18</v>
      </c>
      <c r="F708" s="6" t="s">
        <v>813</v>
      </c>
      <c r="G708" s="5" t="s">
        <v>520</v>
      </c>
      <c r="H708" s="6" t="s">
        <v>20</v>
      </c>
      <c r="I708" s="5" t="s">
        <v>21</v>
      </c>
      <c r="J708" s="4" t="s">
        <v>22</v>
      </c>
      <c r="K708" s="2" t="s">
        <v>23</v>
      </c>
      <c r="L708" s="6" t="s">
        <v>24</v>
      </c>
      <c r="M708" s="5" t="s">
        <v>25</v>
      </c>
      <c r="N708" s="3" t="s">
        <v>26</v>
      </c>
      <c r="O708" s="5">
        <v>2</v>
      </c>
      <c r="P708" s="3" t="s">
        <v>23</v>
      </c>
      <c r="Q708" s="5"/>
    </row>
    <row r="709" spans="1:17" ht="46.5">
      <c r="A709" s="5">
        <v>704</v>
      </c>
      <c r="B709" s="6" t="s">
        <v>16</v>
      </c>
      <c r="C709" s="5" t="str">
        <f>HYPERLINK("http://data.overheid.nl/data/dataset/hoogtegegevens-kribben-waal-2011","Hoogtegegevens kribben Waal 2011")</f>
        <v>Hoogtegegevens kribben Waal 2011</v>
      </c>
      <c r="D709" s="6" t="s">
        <v>17</v>
      </c>
      <c r="E709" s="5" t="s">
        <v>18</v>
      </c>
      <c r="F709" s="6" t="s">
        <v>813</v>
      </c>
      <c r="G709" s="5" t="s">
        <v>521</v>
      </c>
      <c r="H709" s="6" t="s">
        <v>20</v>
      </c>
      <c r="I709" s="5" t="s">
        <v>21</v>
      </c>
      <c r="J709" s="4" t="s">
        <v>22</v>
      </c>
      <c r="K709" s="2" t="s">
        <v>23</v>
      </c>
      <c r="L709" s="6" t="s">
        <v>24</v>
      </c>
      <c r="M709" s="5" t="s">
        <v>25</v>
      </c>
      <c r="N709" s="3" t="s">
        <v>26</v>
      </c>
      <c r="O709" s="5">
        <v>2</v>
      </c>
      <c r="P709" s="3" t="s">
        <v>23</v>
      </c>
      <c r="Q709" s="5"/>
    </row>
    <row r="710" spans="1:17" ht="46.5">
      <c r="A710" s="5">
        <v>705</v>
      </c>
      <c r="B710" s="6" t="s">
        <v>16</v>
      </c>
      <c r="C710" s="5" t="str">
        <f>HYPERLINK("http://data.overheid.nl/data/dataset/hoogtegegevens-kribben-lek-2011","Hoogtegegevens kribben Lek 2011")</f>
        <v>Hoogtegegevens kribben Lek 2011</v>
      </c>
      <c r="D710" s="6" t="s">
        <v>17</v>
      </c>
      <c r="E710" s="5" t="s">
        <v>18</v>
      </c>
      <c r="F710" s="6" t="s">
        <v>813</v>
      </c>
      <c r="G710" s="5" t="s">
        <v>522</v>
      </c>
      <c r="H710" s="6" t="s">
        <v>20</v>
      </c>
      <c r="I710" s="5" t="s">
        <v>21</v>
      </c>
      <c r="J710" s="4" t="s">
        <v>22</v>
      </c>
      <c r="K710" s="2" t="s">
        <v>23</v>
      </c>
      <c r="L710" s="6" t="s">
        <v>24</v>
      </c>
      <c r="M710" s="5" t="s">
        <v>25</v>
      </c>
      <c r="N710" s="3" t="s">
        <v>26</v>
      </c>
      <c r="O710" s="5">
        <v>2</v>
      </c>
      <c r="P710" s="3" t="s">
        <v>23</v>
      </c>
      <c r="Q710" s="5"/>
    </row>
    <row r="711" spans="1:17" ht="62">
      <c r="A711" s="5">
        <v>706</v>
      </c>
      <c r="B711" s="6" t="s">
        <v>16</v>
      </c>
      <c r="C711" s="5" t="str">
        <f>HYPERLINK("http://data.overheid.nl/data/dataset/overzicht-vlieglijnen-wadden-2012","Overzicht vlieglijnen Wadden 2012")</f>
        <v>Overzicht vlieglijnen Wadden 2012</v>
      </c>
      <c r="D711" s="6" t="s">
        <v>17</v>
      </c>
      <c r="E711" s="5" t="s">
        <v>18</v>
      </c>
      <c r="F711" s="6" t="s">
        <v>813</v>
      </c>
      <c r="G711" s="5" t="s">
        <v>523</v>
      </c>
      <c r="H711" s="6" t="s">
        <v>20</v>
      </c>
      <c r="I711" s="5" t="s">
        <v>21</v>
      </c>
      <c r="J711" s="4" t="s">
        <v>22</v>
      </c>
      <c r="K711" s="2" t="s">
        <v>23</v>
      </c>
      <c r="L711" s="6" t="s">
        <v>24</v>
      </c>
      <c r="M711" s="5" t="s">
        <v>25</v>
      </c>
      <c r="N711" s="3" t="s">
        <v>26</v>
      </c>
      <c r="O711" s="5">
        <v>2</v>
      </c>
      <c r="P711" s="3" t="s">
        <v>23</v>
      </c>
      <c r="Q711" s="5"/>
    </row>
    <row r="712" spans="1:17" ht="31">
      <c r="A712" s="5">
        <v>707</v>
      </c>
      <c r="B712" s="6" t="s">
        <v>16</v>
      </c>
      <c r="C712" s="5" t="str">
        <f>HYPERLINK("http://data.overheid.nl/data/dataset/vlakken-wegmeubilair-rws-dienst-zuid-holland","Vlakken wegmeubilair RWS dienst Zuid-Holland")</f>
        <v>Vlakken wegmeubilair RWS dienst Zuid-Holland</v>
      </c>
      <c r="D712" s="6" t="s">
        <v>17</v>
      </c>
      <c r="E712" s="5" t="s">
        <v>18</v>
      </c>
      <c r="F712" s="6" t="s">
        <v>813</v>
      </c>
      <c r="G712" s="5" t="s">
        <v>255</v>
      </c>
      <c r="H712" s="6" t="s">
        <v>20</v>
      </c>
      <c r="I712" s="5" t="s">
        <v>21</v>
      </c>
      <c r="J712" s="4" t="s">
        <v>22</v>
      </c>
      <c r="K712" s="2" t="s">
        <v>23</v>
      </c>
      <c r="L712" s="6" t="s">
        <v>24</v>
      </c>
      <c r="M712" s="5" t="s">
        <v>25</v>
      </c>
      <c r="N712" s="3" t="s">
        <v>26</v>
      </c>
      <c r="O712" s="5">
        <v>2</v>
      </c>
      <c r="P712" s="3" t="s">
        <v>23</v>
      </c>
      <c r="Q712" s="5"/>
    </row>
    <row r="713" spans="1:17" ht="77.5">
      <c r="A713" s="5">
        <v>708</v>
      </c>
      <c r="B713" s="6" t="s">
        <v>16</v>
      </c>
      <c r="C713" s="5" t="str">
        <f>HYPERLINK("http://data.overheid.nl/data/dataset/vlakken-waterafvoer-rws-dienst-zuid-holland","Vlakken waterafvoer RWS dienst Zuid-Holland")</f>
        <v>Vlakken waterafvoer RWS dienst Zuid-Holland</v>
      </c>
      <c r="D713" s="6" t="s">
        <v>17</v>
      </c>
      <c r="E713" s="5" t="s">
        <v>18</v>
      </c>
      <c r="F713" s="6" t="s">
        <v>813</v>
      </c>
      <c r="G713" s="2" t="s">
        <v>256</v>
      </c>
      <c r="H713" s="6" t="s">
        <v>20</v>
      </c>
      <c r="I713" s="5" t="s">
        <v>21</v>
      </c>
      <c r="J713" s="4" t="s">
        <v>22</v>
      </c>
      <c r="K713" s="2" t="s">
        <v>23</v>
      </c>
      <c r="L713" s="6" t="s">
        <v>24</v>
      </c>
      <c r="M713" s="5" t="s">
        <v>25</v>
      </c>
      <c r="N713" s="3" t="s">
        <v>26</v>
      </c>
      <c r="O713" s="5">
        <v>2</v>
      </c>
      <c r="P713" s="3" t="s">
        <v>23</v>
      </c>
      <c r="Q713" s="5"/>
    </row>
    <row r="714" spans="1:17" ht="31">
      <c r="A714" s="5">
        <v>709</v>
      </c>
      <c r="B714" s="6" t="s">
        <v>16</v>
      </c>
      <c r="C714" s="5" t="str">
        <f>HYPERLINK("http://data.overheid.nl/data/dataset/vlakken-terrein-rws-dienst-zuid-holland","Vlakken terrein RWS dienst Zuid-Holland")</f>
        <v>Vlakken terrein RWS dienst Zuid-Holland</v>
      </c>
      <c r="D714" s="6" t="s">
        <v>17</v>
      </c>
      <c r="E714" s="5" t="s">
        <v>18</v>
      </c>
      <c r="F714" s="6" t="s">
        <v>813</v>
      </c>
      <c r="G714" s="5" t="s">
        <v>257</v>
      </c>
      <c r="H714" s="6" t="s">
        <v>20</v>
      </c>
      <c r="I714" s="5" t="s">
        <v>21</v>
      </c>
      <c r="J714" s="4" t="s">
        <v>22</v>
      </c>
      <c r="K714" s="2" t="s">
        <v>23</v>
      </c>
      <c r="L714" s="6" t="s">
        <v>24</v>
      </c>
      <c r="M714" s="5" t="s">
        <v>25</v>
      </c>
      <c r="N714" s="3" t="s">
        <v>26</v>
      </c>
      <c r="O714" s="5">
        <v>2</v>
      </c>
      <c r="P714" s="3" t="s">
        <v>23</v>
      </c>
      <c r="Q714" s="5"/>
    </row>
    <row r="715" spans="1:17" ht="31">
      <c r="A715" s="5">
        <v>710</v>
      </c>
      <c r="B715" s="6" t="s">
        <v>16</v>
      </c>
      <c r="C715" s="5" t="str">
        <f>HYPERLINK("http://data.overheid.nl/data/dataset/vlakken-projecten-rws-dienst-zuid-holland","Vlakken projecten RWS dienst Zuid-Holland")</f>
        <v>Vlakken projecten RWS dienst Zuid-Holland</v>
      </c>
      <c r="D715" s="6" t="s">
        <v>17</v>
      </c>
      <c r="E715" s="5" t="s">
        <v>18</v>
      </c>
      <c r="F715" s="6" t="s">
        <v>813</v>
      </c>
      <c r="G715" s="5" t="s">
        <v>279</v>
      </c>
      <c r="H715" s="6" t="s">
        <v>20</v>
      </c>
      <c r="I715" s="5" t="s">
        <v>21</v>
      </c>
      <c r="J715" s="4" t="s">
        <v>22</v>
      </c>
      <c r="K715" s="2" t="s">
        <v>23</v>
      </c>
      <c r="L715" s="6" t="s">
        <v>24</v>
      </c>
      <c r="M715" s="5" t="s">
        <v>25</v>
      </c>
      <c r="N715" s="3" t="s">
        <v>26</v>
      </c>
      <c r="O715" s="5">
        <v>2</v>
      </c>
      <c r="P715" s="3" t="s">
        <v>23</v>
      </c>
      <c r="Q715" s="5"/>
    </row>
    <row r="716" spans="1:17" ht="31">
      <c r="A716" s="5">
        <v>711</v>
      </c>
      <c r="B716" s="6" t="s">
        <v>16</v>
      </c>
      <c r="C716" s="5" t="str">
        <f>HYPERLINK("http://data.overheid.nl/data/dataset/vlakken-kunstwerk-rws-dienst-zuid-holland","Vlakken kunstwerk RWS dienst Zuid-Holland")</f>
        <v>Vlakken kunstwerk RWS dienst Zuid-Holland</v>
      </c>
      <c r="D716" s="6" t="s">
        <v>17</v>
      </c>
      <c r="E716" s="5" t="s">
        <v>18</v>
      </c>
      <c r="F716" s="6" t="s">
        <v>813</v>
      </c>
      <c r="G716" s="5" t="s">
        <v>280</v>
      </c>
      <c r="H716" s="6" t="s">
        <v>20</v>
      </c>
      <c r="I716" s="5" t="s">
        <v>21</v>
      </c>
      <c r="J716" s="4" t="s">
        <v>22</v>
      </c>
      <c r="K716" s="2" t="s">
        <v>23</v>
      </c>
      <c r="L716" s="6" t="s">
        <v>24</v>
      </c>
      <c r="M716" s="5" t="s">
        <v>25</v>
      </c>
      <c r="N716" s="3" t="s">
        <v>26</v>
      </c>
      <c r="O716" s="5">
        <v>2</v>
      </c>
      <c r="P716" s="3" t="s">
        <v>23</v>
      </c>
      <c r="Q716" s="5"/>
    </row>
    <row r="717" spans="1:17" ht="31">
      <c r="A717" s="5">
        <v>712</v>
      </c>
      <c r="B717" s="6" t="s">
        <v>16</v>
      </c>
      <c r="C717" s="5" t="str">
        <f>HYPERLINK("http://data.overheid.nl/data/dataset/vlakken-gebouw-installaties-rws-dienst-zuid-holland","Vlakken gebouw installaties RWS dienst Zuid-Holland")</f>
        <v>Vlakken gebouw installaties RWS dienst Zuid-Holland</v>
      </c>
      <c r="D717" s="6" t="s">
        <v>17</v>
      </c>
      <c r="E717" s="5" t="s">
        <v>18</v>
      </c>
      <c r="F717" s="6" t="s">
        <v>813</v>
      </c>
      <c r="G717" s="5" t="s">
        <v>258</v>
      </c>
      <c r="H717" s="6" t="s">
        <v>20</v>
      </c>
      <c r="I717" s="5" t="s">
        <v>21</v>
      </c>
      <c r="J717" s="4" t="s">
        <v>22</v>
      </c>
      <c r="K717" s="2" t="s">
        <v>23</v>
      </c>
      <c r="L717" s="6" t="s">
        <v>24</v>
      </c>
      <c r="M717" s="5" t="s">
        <v>25</v>
      </c>
      <c r="N717" s="3" t="s">
        <v>26</v>
      </c>
      <c r="O717" s="5">
        <v>2</v>
      </c>
      <c r="P717" s="3" t="s">
        <v>23</v>
      </c>
      <c r="Q717" s="5"/>
    </row>
    <row r="718" spans="1:17" ht="31">
      <c r="A718" s="5">
        <v>713</v>
      </c>
      <c r="B718" s="6" t="s">
        <v>16</v>
      </c>
      <c r="C718" s="5" t="str">
        <f>HYPERLINK("http://data.overheid.nl/data/dataset/vlakken-beheersituatie-rws-dienst-zuid-holland","Vlakken beheersituatie RWS dienst Zuid-Holland")</f>
        <v>Vlakken beheersituatie RWS dienst Zuid-Holland</v>
      </c>
      <c r="D718" s="6" t="s">
        <v>17</v>
      </c>
      <c r="E718" s="5" t="s">
        <v>18</v>
      </c>
      <c r="F718" s="6" t="s">
        <v>813</v>
      </c>
      <c r="G718" s="5" t="s">
        <v>281</v>
      </c>
      <c r="H718" s="6" t="s">
        <v>20</v>
      </c>
      <c r="I718" s="5" t="s">
        <v>21</v>
      </c>
      <c r="J718" s="4" t="s">
        <v>22</v>
      </c>
      <c r="K718" s="2" t="s">
        <v>23</v>
      </c>
      <c r="L718" s="6" t="s">
        <v>24</v>
      </c>
      <c r="M718" s="5" t="s">
        <v>25</v>
      </c>
      <c r="N718" s="3" t="s">
        <v>26</v>
      </c>
      <c r="O718" s="5">
        <v>2</v>
      </c>
      <c r="P718" s="3" t="s">
        <v>23</v>
      </c>
      <c r="Q718" s="5"/>
    </row>
    <row r="719" spans="1:17" ht="31">
      <c r="A719" s="5">
        <v>714</v>
      </c>
      <c r="B719" s="6" t="s">
        <v>16</v>
      </c>
      <c r="C719" s="5" t="str">
        <f>HYPERLINK("http://data.overheid.nl/data/dataset/verharding-vlakken-rws-dienst-zuid-holland","verharding vlakken RWS dienst Zuid-Holland")</f>
        <v>verharding vlakken RWS dienst Zuid-Holland</v>
      </c>
      <c r="D719" s="6" t="s">
        <v>17</v>
      </c>
      <c r="E719" s="5" t="s">
        <v>18</v>
      </c>
      <c r="F719" s="6" t="s">
        <v>813</v>
      </c>
      <c r="G719" s="5" t="s">
        <v>282</v>
      </c>
      <c r="H719" s="6" t="s">
        <v>20</v>
      </c>
      <c r="I719" s="5" t="s">
        <v>21</v>
      </c>
      <c r="J719" s="4" t="s">
        <v>22</v>
      </c>
      <c r="K719" s="2" t="s">
        <v>23</v>
      </c>
      <c r="L719" s="6" t="s">
        <v>24</v>
      </c>
      <c r="M719" s="5" t="s">
        <v>25</v>
      </c>
      <c r="N719" s="3" t="s">
        <v>26</v>
      </c>
      <c r="O719" s="5">
        <v>2</v>
      </c>
      <c r="P719" s="3" t="s">
        <v>23</v>
      </c>
      <c r="Q719" s="5"/>
    </row>
    <row r="720" spans="1:17" ht="46.5">
      <c r="A720" s="5">
        <v>715</v>
      </c>
      <c r="B720" s="6" t="s">
        <v>16</v>
      </c>
      <c r="C720" s="5" t="str">
        <f>HYPERLINK("http://data.overheid.nl/data/dataset/punten-wegmeubilair-rws-dienst-zuid-holland","Punten wegmeubilair RWS dienst Zuid-Holland")</f>
        <v>Punten wegmeubilair RWS dienst Zuid-Holland</v>
      </c>
      <c r="D720" s="6" t="s">
        <v>17</v>
      </c>
      <c r="E720" s="5" t="s">
        <v>18</v>
      </c>
      <c r="F720" s="6" t="s">
        <v>813</v>
      </c>
      <c r="G720" s="5" t="s">
        <v>259</v>
      </c>
      <c r="H720" s="6" t="s">
        <v>20</v>
      </c>
      <c r="I720" s="5" t="s">
        <v>21</v>
      </c>
      <c r="J720" s="4" t="s">
        <v>22</v>
      </c>
      <c r="K720" s="2" t="s">
        <v>23</v>
      </c>
      <c r="L720" s="6" t="s">
        <v>24</v>
      </c>
      <c r="M720" s="5" t="s">
        <v>25</v>
      </c>
      <c r="N720" s="3" t="s">
        <v>26</v>
      </c>
      <c r="O720" s="5">
        <v>4</v>
      </c>
      <c r="P720" s="3" t="s">
        <v>23</v>
      </c>
      <c r="Q720" s="5"/>
    </row>
    <row r="721" spans="1:17" ht="31">
      <c r="A721" s="5">
        <v>716</v>
      </c>
      <c r="B721" s="6" t="s">
        <v>16</v>
      </c>
      <c r="C721" s="5" t="str">
        <f>HYPERLINK("http://data.overheid.nl/data/dataset/punten-waterafvoer-rws-dienst-zuid-holland","Punten waterafvoer RWS dienst Zuid-Holland")</f>
        <v>Punten waterafvoer RWS dienst Zuid-Holland</v>
      </c>
      <c r="D721" s="6" t="s">
        <v>17</v>
      </c>
      <c r="E721" s="5" t="s">
        <v>18</v>
      </c>
      <c r="F721" s="6" t="s">
        <v>813</v>
      </c>
      <c r="G721" s="5" t="s">
        <v>260</v>
      </c>
      <c r="H721" s="6" t="s">
        <v>20</v>
      </c>
      <c r="I721" s="5" t="s">
        <v>21</v>
      </c>
      <c r="J721" s="4" t="s">
        <v>22</v>
      </c>
      <c r="K721" s="2" t="s">
        <v>23</v>
      </c>
      <c r="L721" s="6" t="s">
        <v>24</v>
      </c>
      <c r="M721" s="5" t="s">
        <v>25</v>
      </c>
      <c r="N721" s="3" t="s">
        <v>26</v>
      </c>
      <c r="O721" s="5">
        <v>2</v>
      </c>
      <c r="P721" s="3" t="s">
        <v>23</v>
      </c>
      <c r="Q721" s="5"/>
    </row>
    <row r="722" spans="1:17" ht="31">
      <c r="A722" s="5">
        <v>717</v>
      </c>
      <c r="B722" s="6" t="s">
        <v>16</v>
      </c>
      <c r="C722" s="5" t="str">
        <f>HYPERLINK("http://data.overheid.nl/data/dataset/punten-voorzieningen-rws-dienst-zuid-holland","Punten voorzieningen RWS dienst Zuid-Holland")</f>
        <v>Punten voorzieningen RWS dienst Zuid-Holland</v>
      </c>
      <c r="D722" s="6" t="s">
        <v>17</v>
      </c>
      <c r="E722" s="5" t="s">
        <v>18</v>
      </c>
      <c r="F722" s="6" t="s">
        <v>813</v>
      </c>
      <c r="G722" s="5" t="s">
        <v>261</v>
      </c>
      <c r="H722" s="6" t="s">
        <v>20</v>
      </c>
      <c r="I722" s="5" t="s">
        <v>21</v>
      </c>
      <c r="J722" s="4" t="s">
        <v>22</v>
      </c>
      <c r="K722" s="2" t="s">
        <v>23</v>
      </c>
      <c r="L722" s="6" t="s">
        <v>24</v>
      </c>
      <c r="M722" s="5" t="s">
        <v>25</v>
      </c>
      <c r="N722" s="3" t="s">
        <v>26</v>
      </c>
      <c r="O722" s="5">
        <v>2</v>
      </c>
      <c r="P722" s="3" t="s">
        <v>23</v>
      </c>
      <c r="Q722" s="5"/>
    </row>
    <row r="723" spans="1:17" ht="31">
      <c r="A723" s="5">
        <v>718</v>
      </c>
      <c r="B723" s="6" t="s">
        <v>16</v>
      </c>
      <c r="C723" s="5" t="str">
        <f>HYPERLINK("http://data.overheid.nl/data/dataset/punten-markering-rws-dienst-zuid-holland","Punten markering RWS dienst Zuid-Holland")</f>
        <v>Punten markering RWS dienst Zuid-Holland</v>
      </c>
      <c r="D723" s="6" t="s">
        <v>17</v>
      </c>
      <c r="E723" s="5" t="s">
        <v>18</v>
      </c>
      <c r="F723" s="6" t="s">
        <v>813</v>
      </c>
      <c r="G723" s="5" t="s">
        <v>262</v>
      </c>
      <c r="H723" s="6" t="s">
        <v>20</v>
      </c>
      <c r="I723" s="5" t="s">
        <v>21</v>
      </c>
      <c r="J723" s="4" t="s">
        <v>22</v>
      </c>
      <c r="K723" s="2" t="s">
        <v>23</v>
      </c>
      <c r="L723" s="6" t="s">
        <v>24</v>
      </c>
      <c r="M723" s="5" t="s">
        <v>25</v>
      </c>
      <c r="N723" s="3" t="s">
        <v>26</v>
      </c>
      <c r="O723" s="5">
        <v>2</v>
      </c>
      <c r="P723" s="3" t="s">
        <v>23</v>
      </c>
      <c r="Q723" s="5"/>
    </row>
    <row r="724" spans="1:17" ht="31">
      <c r="A724" s="5">
        <v>719</v>
      </c>
      <c r="B724" s="6" t="s">
        <v>16</v>
      </c>
      <c r="C724" s="5" t="str">
        <f>HYPERLINK("http://data.overheid.nl/data/dataset/punten-lichtmast-rws-dienst-zuid-holland","Punten lichtmast RWS dienst Zuid-Holland")</f>
        <v>Punten lichtmast RWS dienst Zuid-Holland</v>
      </c>
      <c r="D724" s="6" t="s">
        <v>17</v>
      </c>
      <c r="E724" s="5" t="s">
        <v>18</v>
      </c>
      <c r="F724" s="6" t="s">
        <v>813</v>
      </c>
      <c r="G724" s="5" t="s">
        <v>283</v>
      </c>
      <c r="H724" s="6" t="s">
        <v>20</v>
      </c>
      <c r="I724" s="5" t="s">
        <v>21</v>
      </c>
      <c r="J724" s="4" t="s">
        <v>22</v>
      </c>
      <c r="K724" s="2" t="s">
        <v>23</v>
      </c>
      <c r="L724" s="6" t="s">
        <v>24</v>
      </c>
      <c r="M724" s="5" t="s">
        <v>25</v>
      </c>
      <c r="N724" s="3" t="s">
        <v>26</v>
      </c>
      <c r="O724" s="5">
        <v>2</v>
      </c>
      <c r="P724" s="3" t="s">
        <v>23</v>
      </c>
      <c r="Q724" s="5"/>
    </row>
    <row r="725" spans="1:17" ht="31">
      <c r="A725" s="5">
        <v>720</v>
      </c>
      <c r="B725" s="6" t="s">
        <v>16</v>
      </c>
      <c r="C725" s="5" t="str">
        <f>HYPERLINK("http://data.overheid.nl/data/dataset/punten-kunstwerken-rws-dienst-zuid-holland","Punten kunstwerken RWS dienst Zuid-Holland")</f>
        <v>Punten kunstwerken RWS dienst Zuid-Holland</v>
      </c>
      <c r="D725" s="6" t="s">
        <v>17</v>
      </c>
      <c r="E725" s="5" t="s">
        <v>18</v>
      </c>
      <c r="F725" s="6" t="s">
        <v>813</v>
      </c>
      <c r="G725" s="5" t="s">
        <v>263</v>
      </c>
      <c r="H725" s="6" t="s">
        <v>20</v>
      </c>
      <c r="I725" s="5" t="s">
        <v>21</v>
      </c>
      <c r="J725" s="4" t="s">
        <v>22</v>
      </c>
      <c r="K725" s="2" t="s">
        <v>23</v>
      </c>
      <c r="L725" s="6" t="s">
        <v>24</v>
      </c>
      <c r="M725" s="5" t="s">
        <v>25</v>
      </c>
      <c r="N725" s="3" t="s">
        <v>26</v>
      </c>
      <c r="O725" s="5">
        <v>2</v>
      </c>
      <c r="P725" s="3" t="s">
        <v>23</v>
      </c>
      <c r="Q725" s="5"/>
    </row>
    <row r="726" spans="1:17" ht="31">
      <c r="A726" s="5">
        <v>721</v>
      </c>
      <c r="B726" s="6" t="s">
        <v>16</v>
      </c>
      <c r="C726" s="5" t="str">
        <f>HYPERLINK("http://data.overheid.nl/data/dataset/punten-hectometerborden-rws-dienst-zuid-holland","Punten hectometerborden RWS dienst Zuid-Holland")</f>
        <v>Punten hectometerborden RWS dienst Zuid-Holland</v>
      </c>
      <c r="D726" s="6" t="s">
        <v>17</v>
      </c>
      <c r="E726" s="5" t="s">
        <v>18</v>
      </c>
      <c r="F726" s="6" t="s">
        <v>813</v>
      </c>
      <c r="G726" s="5" t="s">
        <v>284</v>
      </c>
      <c r="H726" s="6" t="s">
        <v>20</v>
      </c>
      <c r="I726" s="5" t="s">
        <v>21</v>
      </c>
      <c r="J726" s="4" t="s">
        <v>22</v>
      </c>
      <c r="K726" s="2" t="s">
        <v>23</v>
      </c>
      <c r="L726" s="6" t="s">
        <v>24</v>
      </c>
      <c r="M726" s="5" t="s">
        <v>25</v>
      </c>
      <c r="N726" s="3" t="s">
        <v>26</v>
      </c>
      <c r="O726" s="5">
        <v>2</v>
      </c>
      <c r="P726" s="3" t="s">
        <v>23</v>
      </c>
      <c r="Q726" s="5"/>
    </row>
    <row r="727" spans="1:17" ht="31">
      <c r="A727" s="5">
        <v>722</v>
      </c>
      <c r="B727" s="6" t="s">
        <v>16</v>
      </c>
      <c r="C727" s="5" t="str">
        <f>HYPERLINK("http://data.overheid.nl/data/dataset/punten-groen-rws-dienst-zuid-holland","Punten groen RWS dienst Zuid-Holland")</f>
        <v>Punten groen RWS dienst Zuid-Holland</v>
      </c>
      <c r="D727" s="6" t="s">
        <v>17</v>
      </c>
      <c r="E727" s="5" t="s">
        <v>18</v>
      </c>
      <c r="F727" s="6" t="s">
        <v>813</v>
      </c>
      <c r="G727" s="5" t="s">
        <v>285</v>
      </c>
      <c r="H727" s="6" t="s">
        <v>20</v>
      </c>
      <c r="I727" s="5" t="s">
        <v>21</v>
      </c>
      <c r="J727" s="4" t="s">
        <v>22</v>
      </c>
      <c r="K727" s="2" t="s">
        <v>23</v>
      </c>
      <c r="L727" s="6" t="s">
        <v>24</v>
      </c>
      <c r="M727" s="5" t="s">
        <v>25</v>
      </c>
      <c r="N727" s="3" t="s">
        <v>26</v>
      </c>
      <c r="O727" s="5">
        <v>2</v>
      </c>
      <c r="P727" s="3" t="s">
        <v>23</v>
      </c>
      <c r="Q727" s="5"/>
    </row>
    <row r="728" spans="1:17" ht="31">
      <c r="A728" s="5">
        <v>723</v>
      </c>
      <c r="B728" s="6" t="s">
        <v>16</v>
      </c>
      <c r="C728" s="5" t="str">
        <f>HYPERLINK("http://data.overheid.nl/data/dataset/markering-vlakken-rws-dienst-zuid-holland","markering vlakken RWS dienst Zuid-Holland")</f>
        <v>markering vlakken RWS dienst Zuid-Holland</v>
      </c>
      <c r="D728" s="6" t="s">
        <v>17</v>
      </c>
      <c r="E728" s="5" t="s">
        <v>18</v>
      </c>
      <c r="F728" s="6" t="s">
        <v>813</v>
      </c>
      <c r="G728" s="5" t="s">
        <v>264</v>
      </c>
      <c r="H728" s="6" t="s">
        <v>20</v>
      </c>
      <c r="I728" s="5" t="s">
        <v>21</v>
      </c>
      <c r="J728" s="4" t="s">
        <v>22</v>
      </c>
      <c r="K728" s="2" t="s">
        <v>23</v>
      </c>
      <c r="L728" s="6" t="s">
        <v>24</v>
      </c>
      <c r="M728" s="5" t="s">
        <v>25</v>
      </c>
      <c r="N728" s="3" t="s">
        <v>26</v>
      </c>
      <c r="O728" s="5">
        <v>2</v>
      </c>
      <c r="P728" s="3" t="s">
        <v>23</v>
      </c>
      <c r="Q728" s="5"/>
    </row>
    <row r="729" spans="1:17" ht="31">
      <c r="A729" s="5">
        <v>724</v>
      </c>
      <c r="B729" s="6" t="s">
        <v>16</v>
      </c>
      <c r="C729" s="5" t="str">
        <f>HYPERLINK("http://data.overheid.nl/data/dataset/lijnen-wegmeubilair-rws-dienst-zuid-holland","Lijnen wegmeubilair RWS dienst Zuid-Holland")</f>
        <v>Lijnen wegmeubilair RWS dienst Zuid-Holland</v>
      </c>
      <c r="D729" s="6" t="s">
        <v>17</v>
      </c>
      <c r="E729" s="5" t="s">
        <v>18</v>
      </c>
      <c r="F729" s="6" t="s">
        <v>813</v>
      </c>
      <c r="G729" s="5" t="s">
        <v>265</v>
      </c>
      <c r="H729" s="6" t="s">
        <v>20</v>
      </c>
      <c r="I729" s="5" t="s">
        <v>21</v>
      </c>
      <c r="J729" s="4" t="s">
        <v>22</v>
      </c>
      <c r="K729" s="2" t="s">
        <v>23</v>
      </c>
      <c r="L729" s="6" t="s">
        <v>24</v>
      </c>
      <c r="M729" s="5" t="s">
        <v>25</v>
      </c>
      <c r="N729" s="3" t="s">
        <v>26</v>
      </c>
      <c r="O729" s="5">
        <v>2</v>
      </c>
      <c r="P729" s="3" t="s">
        <v>23</v>
      </c>
      <c r="Q729" s="5"/>
    </row>
    <row r="730" spans="1:17" ht="77.5">
      <c r="A730" s="5">
        <v>725</v>
      </c>
      <c r="B730" s="6" t="s">
        <v>16</v>
      </c>
      <c r="C730" s="5" t="str">
        <f>HYPERLINK("http://data.overheid.nl/data/dataset/lijnen-waterafvoer-rws-dienst-zuid-holland","Lijnen waterafvoer RWS dienst Zuid-Holland")</f>
        <v>Lijnen waterafvoer RWS dienst Zuid-Holland</v>
      </c>
      <c r="D730" s="6" t="s">
        <v>17</v>
      </c>
      <c r="E730" s="5" t="s">
        <v>18</v>
      </c>
      <c r="F730" s="6" t="s">
        <v>813</v>
      </c>
      <c r="G730" s="2" t="s">
        <v>256</v>
      </c>
      <c r="H730" s="6" t="s">
        <v>20</v>
      </c>
      <c r="I730" s="5" t="s">
        <v>21</v>
      </c>
      <c r="J730" s="4" t="s">
        <v>22</v>
      </c>
      <c r="K730" s="2" t="s">
        <v>23</v>
      </c>
      <c r="L730" s="6" t="s">
        <v>24</v>
      </c>
      <c r="M730" s="5" t="s">
        <v>25</v>
      </c>
      <c r="N730" s="3" t="s">
        <v>26</v>
      </c>
      <c r="O730" s="5">
        <v>2</v>
      </c>
      <c r="P730" s="3" t="s">
        <v>23</v>
      </c>
      <c r="Q730" s="5"/>
    </row>
    <row r="731" spans="1:17" ht="31">
      <c r="A731" s="5">
        <v>726</v>
      </c>
      <c r="B731" s="6" t="s">
        <v>16</v>
      </c>
      <c r="C731" s="5" t="str">
        <f>HYPERLINK("http://data.overheid.nl/data/dataset/lijnen-openbare-verlichting-rws-dienst-zuid-holland","Lijnen openbare verlichting RWS dienst Zuid-Holland")</f>
        <v>Lijnen openbare verlichting RWS dienst Zuid-Holland</v>
      </c>
      <c r="D731" s="6" t="s">
        <v>17</v>
      </c>
      <c r="E731" s="5" t="s">
        <v>18</v>
      </c>
      <c r="F731" s="6" t="s">
        <v>813</v>
      </c>
      <c r="G731" s="5" t="s">
        <v>266</v>
      </c>
      <c r="H731" s="6" t="s">
        <v>20</v>
      </c>
      <c r="I731" s="5" t="s">
        <v>21</v>
      </c>
      <c r="J731" s="4" t="s">
        <v>22</v>
      </c>
      <c r="K731" s="2" t="s">
        <v>23</v>
      </c>
      <c r="L731" s="6" t="s">
        <v>24</v>
      </c>
      <c r="M731" s="5" t="s">
        <v>25</v>
      </c>
      <c r="N731" s="3" t="s">
        <v>26</v>
      </c>
      <c r="O731" s="5">
        <v>2</v>
      </c>
      <c r="P731" s="3" t="s">
        <v>23</v>
      </c>
      <c r="Q731" s="5"/>
    </row>
    <row r="732" spans="1:17" ht="31">
      <c r="A732" s="5">
        <v>727</v>
      </c>
      <c r="B732" s="6" t="s">
        <v>16</v>
      </c>
      <c r="C732" s="5" t="str">
        <f>HYPERLINK("http://data.overheid.nl/data/dataset/lijnen-markering-rws-dienst-zuid-holland","Lijnen markering RWS dienst Zuid-Holland")</f>
        <v>Lijnen markering RWS dienst Zuid-Holland</v>
      </c>
      <c r="D732" s="6" t="s">
        <v>17</v>
      </c>
      <c r="E732" s="5" t="s">
        <v>18</v>
      </c>
      <c r="F732" s="6" t="s">
        <v>813</v>
      </c>
      <c r="G732" s="5" t="s">
        <v>286</v>
      </c>
      <c r="H732" s="6" t="s">
        <v>20</v>
      </c>
      <c r="I732" s="5" t="s">
        <v>21</v>
      </c>
      <c r="J732" s="4" t="s">
        <v>22</v>
      </c>
      <c r="K732" s="2" t="s">
        <v>23</v>
      </c>
      <c r="L732" s="6" t="s">
        <v>24</v>
      </c>
      <c r="M732" s="5" t="s">
        <v>25</v>
      </c>
      <c r="N732" s="3" t="s">
        <v>26</v>
      </c>
      <c r="O732" s="5">
        <v>2</v>
      </c>
      <c r="P732" s="3" t="s">
        <v>23</v>
      </c>
      <c r="Q732" s="5"/>
    </row>
    <row r="733" spans="1:17" ht="31">
      <c r="A733" s="5">
        <v>728</v>
      </c>
      <c r="B733" s="6" t="s">
        <v>16</v>
      </c>
      <c r="C733" s="5" t="str">
        <f>HYPERLINK("http://data.overheid.nl/data/dataset/lijnen-kunstwerken-rws-dienst-zuid-holland","Lijnen kunstwerken RWS dienst Zuid-Holland")</f>
        <v>Lijnen kunstwerken RWS dienst Zuid-Holland</v>
      </c>
      <c r="D733" s="6" t="s">
        <v>17</v>
      </c>
      <c r="E733" s="5" t="s">
        <v>18</v>
      </c>
      <c r="F733" s="6" t="s">
        <v>813</v>
      </c>
      <c r="G733" s="5" t="s">
        <v>267</v>
      </c>
      <c r="H733" s="6" t="s">
        <v>20</v>
      </c>
      <c r="I733" s="5" t="s">
        <v>21</v>
      </c>
      <c r="J733" s="4" t="s">
        <v>22</v>
      </c>
      <c r="K733" s="2" t="s">
        <v>23</v>
      </c>
      <c r="L733" s="6" t="s">
        <v>24</v>
      </c>
      <c r="M733" s="5" t="s">
        <v>25</v>
      </c>
      <c r="N733" s="3" t="s">
        <v>26</v>
      </c>
      <c r="O733" s="5">
        <v>2</v>
      </c>
      <c r="P733" s="3" t="s">
        <v>23</v>
      </c>
      <c r="Q733" s="5"/>
    </row>
    <row r="734" spans="1:17" ht="31">
      <c r="A734" s="5">
        <v>729</v>
      </c>
      <c r="B734" s="6" t="s">
        <v>16</v>
      </c>
      <c r="C734" s="5" t="str">
        <f>HYPERLINK("http://data.overheid.nl/data/dataset/lijnen-groen-rws-dienst-zuid-holland","Lijnen groen RWS dienst Zuid-Holland")</f>
        <v>Lijnen groen RWS dienst Zuid-Holland</v>
      </c>
      <c r="D734" s="6" t="s">
        <v>17</v>
      </c>
      <c r="E734" s="5" t="s">
        <v>18</v>
      </c>
      <c r="F734" s="6" t="s">
        <v>813</v>
      </c>
      <c r="G734" s="5" t="s">
        <v>287</v>
      </c>
      <c r="H734" s="6" t="s">
        <v>20</v>
      </c>
      <c r="I734" s="5" t="s">
        <v>21</v>
      </c>
      <c r="J734" s="4" t="s">
        <v>22</v>
      </c>
      <c r="K734" s="2" t="s">
        <v>23</v>
      </c>
      <c r="L734" s="6" t="s">
        <v>24</v>
      </c>
      <c r="M734" s="5" t="s">
        <v>25</v>
      </c>
      <c r="N734" s="3" t="s">
        <v>26</v>
      </c>
      <c r="O734" s="5">
        <v>2</v>
      </c>
      <c r="P734" s="3" t="s">
        <v>23</v>
      </c>
      <c r="Q734" s="5"/>
    </row>
    <row r="735" spans="1:17" ht="31">
      <c r="A735" s="5">
        <v>730</v>
      </c>
      <c r="B735" s="6" t="s">
        <v>16</v>
      </c>
      <c r="C735" s="5" t="str">
        <f>HYPERLINK("http://data.overheid.nl/data/dataset/lijnen-geleideconstructie-rws-dienst-zuid-holland","Lijnen geleideconstructie RWS dienst Zuid-Holland")</f>
        <v>Lijnen geleideconstructie RWS dienst Zuid-Holland</v>
      </c>
      <c r="D735" s="6" t="s">
        <v>17</v>
      </c>
      <c r="E735" s="5" t="s">
        <v>18</v>
      </c>
      <c r="F735" s="6" t="s">
        <v>813</v>
      </c>
      <c r="G735" s="5" t="s">
        <v>288</v>
      </c>
      <c r="H735" s="6" t="s">
        <v>20</v>
      </c>
      <c r="I735" s="5" t="s">
        <v>21</v>
      </c>
      <c r="J735" s="4" t="s">
        <v>22</v>
      </c>
      <c r="K735" s="2" t="s">
        <v>23</v>
      </c>
      <c r="L735" s="6" t="s">
        <v>24</v>
      </c>
      <c r="M735" s="5" t="s">
        <v>25</v>
      </c>
      <c r="N735" s="3" t="s">
        <v>26</v>
      </c>
      <c r="O735" s="5">
        <v>2</v>
      </c>
      <c r="P735" s="3" t="s">
        <v>23</v>
      </c>
      <c r="Q735" s="5"/>
    </row>
    <row r="736" spans="1:17" ht="31">
      <c r="A736" s="5">
        <v>731</v>
      </c>
      <c r="B736" s="6" t="s">
        <v>16</v>
      </c>
      <c r="C736" s="5" t="str">
        <f>HYPERLINK("http://data.overheid.nl/data/dataset/groenbeheer-vlakken-rws-dienst-zuid-holland","groenbeheer vlakken RWS dienst Zuid-Holland")</f>
        <v>groenbeheer vlakken RWS dienst Zuid-Holland</v>
      </c>
      <c r="D736" s="6" t="s">
        <v>17</v>
      </c>
      <c r="E736" s="5" t="s">
        <v>18</v>
      </c>
      <c r="F736" s="6" t="s">
        <v>813</v>
      </c>
      <c r="G736" s="5" t="s">
        <v>289</v>
      </c>
      <c r="H736" s="6" t="s">
        <v>20</v>
      </c>
      <c r="I736" s="5" t="s">
        <v>21</v>
      </c>
      <c r="J736" s="4" t="s">
        <v>22</v>
      </c>
      <c r="K736" s="2" t="s">
        <v>23</v>
      </c>
      <c r="L736" s="6" t="s">
        <v>24</v>
      </c>
      <c r="M736" s="5" t="s">
        <v>25</v>
      </c>
      <c r="N736" s="3" t="s">
        <v>26</v>
      </c>
      <c r="O736" s="5">
        <v>2</v>
      </c>
      <c r="P736" s="3" t="s">
        <v>23</v>
      </c>
      <c r="Q736" s="5"/>
    </row>
    <row r="737" spans="1:17" ht="77.5">
      <c r="A737" s="5">
        <v>732</v>
      </c>
      <c r="B737" s="6" t="s">
        <v>16</v>
      </c>
      <c r="C737" s="5" t="str">
        <f>HYPERLINK("http://data.overheid.nl/data/dataset/vliegvelden","vliegvelden")</f>
        <v>vliegvelden</v>
      </c>
      <c r="D737" s="6" t="s">
        <v>17</v>
      </c>
      <c r="E737" s="5" t="s">
        <v>18</v>
      </c>
      <c r="F737" s="6" t="s">
        <v>813</v>
      </c>
      <c r="G737" s="5" t="s">
        <v>524</v>
      </c>
      <c r="H737" s="6" t="s">
        <v>28</v>
      </c>
      <c r="I737" s="5" t="s">
        <v>21</v>
      </c>
      <c r="J737" s="9" t="s">
        <v>305</v>
      </c>
      <c r="K737" s="2" t="s">
        <v>23</v>
      </c>
      <c r="L737" s="6" t="s">
        <v>24</v>
      </c>
      <c r="M737" s="5" t="s">
        <v>25</v>
      </c>
      <c r="N737" s="3" t="s">
        <v>26</v>
      </c>
      <c r="O737" s="5">
        <v>1</v>
      </c>
      <c r="P737" s="3" t="s">
        <v>23</v>
      </c>
      <c r="Q737" s="5"/>
    </row>
    <row r="738" spans="1:17" ht="62">
      <c r="A738" s="5">
        <v>733</v>
      </c>
      <c r="B738" s="6" t="s">
        <v>16</v>
      </c>
      <c r="C738" s="5" t="str">
        <f>HYPERLINK("http://data.overheid.nl/data/dataset/nationaal-wegen-bestand-vaarwegen-kilometermarkeringen-01","Nationaal Wegen Bestand Vaarwegen kilometermarkeringen")</f>
        <v>Nationaal Wegen Bestand Vaarwegen kilometermarkeringen</v>
      </c>
      <c r="D738" s="6" t="s">
        <v>17</v>
      </c>
      <c r="E738" s="5" t="s">
        <v>18</v>
      </c>
      <c r="F738" s="6" t="s">
        <v>813</v>
      </c>
      <c r="G738" s="5" t="s">
        <v>525</v>
      </c>
      <c r="H738" s="6" t="s">
        <v>28</v>
      </c>
      <c r="I738" s="5" t="s">
        <v>21</v>
      </c>
      <c r="J738" s="4" t="s">
        <v>22</v>
      </c>
      <c r="K738" s="2" t="s">
        <v>23</v>
      </c>
      <c r="L738" s="6" t="s">
        <v>24</v>
      </c>
      <c r="M738" s="5" t="s">
        <v>25</v>
      </c>
      <c r="N738" s="3" t="s">
        <v>26</v>
      </c>
      <c r="O738" s="5">
        <v>1</v>
      </c>
      <c r="P738" s="3" t="s">
        <v>23</v>
      </c>
      <c r="Q738" s="5"/>
    </row>
    <row r="739" spans="1:17" ht="46.5">
      <c r="A739" s="5">
        <v>734</v>
      </c>
      <c r="B739" s="6" t="s">
        <v>16</v>
      </c>
      <c r="C739" s="5" t="str">
        <f>HYPERLINK("http://data.overheid.nl/data/dataset/kwaliteit-kunstwerken-2008","Kwaliteit Kunstwerken 2008")</f>
        <v>Kwaliteit Kunstwerken 2008</v>
      </c>
      <c r="D739" s="6" t="s">
        <v>17</v>
      </c>
      <c r="E739" s="5" t="s">
        <v>18</v>
      </c>
      <c r="F739" s="6" t="s">
        <v>813</v>
      </c>
      <c r="G739" s="5" t="s">
        <v>200</v>
      </c>
      <c r="H739" s="6" t="s">
        <v>28</v>
      </c>
      <c r="I739" s="5" t="s">
        <v>21</v>
      </c>
      <c r="J739" s="4" t="s">
        <v>22</v>
      </c>
      <c r="K739" s="2" t="s">
        <v>23</v>
      </c>
      <c r="L739" s="6" t="s">
        <v>24</v>
      </c>
      <c r="M739" s="5" t="s">
        <v>25</v>
      </c>
      <c r="N739" s="3" t="s">
        <v>26</v>
      </c>
      <c r="O739" s="5">
        <v>6</v>
      </c>
      <c r="P739" s="3" t="s">
        <v>23</v>
      </c>
      <c r="Q739" s="5"/>
    </row>
    <row r="740" spans="1:17" ht="31">
      <c r="A740" s="5">
        <v>735</v>
      </c>
      <c r="B740" s="6" t="s">
        <v>16</v>
      </c>
      <c r="C740" s="5" t="str">
        <f>HYPERLINK("http://data.overheid.nl/data/dataset/wadden-sea-secretariat-monitoring-tmap","Wadden sea Secretariat - Monitoring TMAP")</f>
        <v>Wadden sea Secretariat - Monitoring TMAP</v>
      </c>
      <c r="D740" s="6" t="s">
        <v>17</v>
      </c>
      <c r="E740" s="5" t="s">
        <v>18</v>
      </c>
      <c r="F740" s="6" t="s">
        <v>813</v>
      </c>
      <c r="G740" s="5" t="s">
        <v>526</v>
      </c>
      <c r="H740" s="6" t="s">
        <v>20</v>
      </c>
      <c r="I740" s="5" t="s">
        <v>21</v>
      </c>
      <c r="J740" s="4" t="s">
        <v>22</v>
      </c>
      <c r="K740" s="2" t="s">
        <v>23</v>
      </c>
      <c r="L740" s="6" t="s">
        <v>24</v>
      </c>
      <c r="M740" s="5" t="s">
        <v>25</v>
      </c>
      <c r="N740" s="3" t="s">
        <v>26</v>
      </c>
      <c r="O740" s="5">
        <v>1</v>
      </c>
      <c r="P740" s="3" t="s">
        <v>23</v>
      </c>
      <c r="Q740" s="5"/>
    </row>
    <row r="741" spans="1:17" ht="31">
      <c r="A741" s="5">
        <v>736</v>
      </c>
      <c r="B741" s="6" t="s">
        <v>16</v>
      </c>
      <c r="C741" s="5" t="str">
        <f>HYPERLINK("http://data.overheid.nl/data/dataset/rijkswaterstaat-kostenbarometer-goederenvervoer-en-personenvervoer","Rijkswaterstaat - Kostenbarometer goederenvervoer en personenvervoer")</f>
        <v>Rijkswaterstaat - Kostenbarometer goederenvervoer en personenvervoer</v>
      </c>
      <c r="D741" s="6" t="s">
        <v>17</v>
      </c>
      <c r="E741" s="5" t="s">
        <v>18</v>
      </c>
      <c r="F741" s="6" t="s">
        <v>813</v>
      </c>
      <c r="G741" s="5" t="s">
        <v>527</v>
      </c>
      <c r="H741" s="6" t="s">
        <v>20</v>
      </c>
      <c r="I741" s="5" t="s">
        <v>21</v>
      </c>
      <c r="J741" s="4" t="s">
        <v>22</v>
      </c>
      <c r="K741" s="2" t="s">
        <v>23</v>
      </c>
      <c r="L741" s="6" t="s">
        <v>24</v>
      </c>
      <c r="M741" s="5" t="s">
        <v>25</v>
      </c>
      <c r="N741" s="3" t="s">
        <v>26</v>
      </c>
      <c r="O741" s="5">
        <v>1</v>
      </c>
      <c r="P741" s="3" t="s">
        <v>23</v>
      </c>
      <c r="Q741" s="5"/>
    </row>
    <row r="742" spans="1:17" ht="62">
      <c r="A742" s="5">
        <v>737</v>
      </c>
      <c r="B742" s="6" t="s">
        <v>16</v>
      </c>
      <c r="C742" s="5" t="str">
        <f>HYPERLINK("http://data.overheid.nl/data/dataset/locaties-helicopterfotos-20140203","Locaties helicopterfotos 20140203")</f>
        <v>Locaties helicopterfotos 20140203</v>
      </c>
      <c r="D742" s="6" t="s">
        <v>17</v>
      </c>
      <c r="E742" s="5" t="s">
        <v>18</v>
      </c>
      <c r="F742" s="6" t="s">
        <v>813</v>
      </c>
      <c r="G742" s="5" t="s">
        <v>528</v>
      </c>
      <c r="H742" s="6" t="s">
        <v>20</v>
      </c>
      <c r="I742" s="5" t="s">
        <v>21</v>
      </c>
      <c r="J742" s="4" t="s">
        <v>22</v>
      </c>
      <c r="K742" s="2" t="s">
        <v>23</v>
      </c>
      <c r="L742" s="6" t="s">
        <v>24</v>
      </c>
      <c r="M742" s="5" t="s">
        <v>25</v>
      </c>
      <c r="N742" s="3" t="s">
        <v>26</v>
      </c>
      <c r="O742" s="5">
        <v>2</v>
      </c>
      <c r="P742" s="3" t="s">
        <v>23</v>
      </c>
      <c r="Q742" s="5"/>
    </row>
    <row r="743" spans="1:17" ht="77.5">
      <c r="A743" s="5">
        <v>738</v>
      </c>
      <c r="B743" s="6" t="s">
        <v>16</v>
      </c>
      <c r="C743" s="5" t="str">
        <f>HYPERLINK("http://data.overheid.nl/data/dataset/overzicht-vlieglijnen-zandmotor-2013","Overzicht vlieglijnen zandmotor 2013")</f>
        <v>Overzicht vlieglijnen zandmotor 2013</v>
      </c>
      <c r="D743" s="6" t="s">
        <v>17</v>
      </c>
      <c r="E743" s="5" t="s">
        <v>18</v>
      </c>
      <c r="F743" s="6" t="s">
        <v>813</v>
      </c>
      <c r="G743" s="5" t="s">
        <v>529</v>
      </c>
      <c r="H743" s="6" t="s">
        <v>20</v>
      </c>
      <c r="I743" s="5" t="s">
        <v>21</v>
      </c>
      <c r="J743" s="4" t="s">
        <v>22</v>
      </c>
      <c r="K743" s="2" t="s">
        <v>23</v>
      </c>
      <c r="L743" s="6" t="s">
        <v>24</v>
      </c>
      <c r="M743" s="5" t="s">
        <v>25</v>
      </c>
      <c r="N743" s="3" t="s">
        <v>26</v>
      </c>
      <c r="O743" s="5">
        <v>2</v>
      </c>
      <c r="P743" s="3" t="s">
        <v>23</v>
      </c>
      <c r="Q743" s="5"/>
    </row>
    <row r="744" spans="1:17" ht="62">
      <c r="A744" s="5">
        <v>739</v>
      </c>
      <c r="B744" s="6" t="s">
        <v>16</v>
      </c>
      <c r="C744" s="5" t="str">
        <f>HYPERLINK("http://data.overheid.nl/data/dataset/kust-zuid-holland-zandmotor-2013","Kust Zuid-Holland Zandmotor 2013")</f>
        <v>Kust Zuid-Holland Zandmotor 2013</v>
      </c>
      <c r="D744" s="6" t="s">
        <v>17</v>
      </c>
      <c r="E744" s="5" t="s">
        <v>18</v>
      </c>
      <c r="F744" s="6" t="s">
        <v>813</v>
      </c>
      <c r="G744" s="5" t="s">
        <v>530</v>
      </c>
      <c r="H744" s="6" t="s">
        <v>20</v>
      </c>
      <c r="I744" s="5" t="s">
        <v>21</v>
      </c>
      <c r="J744" s="4" t="s">
        <v>22</v>
      </c>
      <c r="K744" s="2" t="s">
        <v>23</v>
      </c>
      <c r="L744" s="6" t="s">
        <v>24</v>
      </c>
      <c r="M744" s="5" t="s">
        <v>25</v>
      </c>
      <c r="N744" s="3" t="s">
        <v>26</v>
      </c>
      <c r="O744" s="5">
        <v>2</v>
      </c>
      <c r="P744" s="3" t="s">
        <v>23</v>
      </c>
      <c r="Q744" s="5"/>
    </row>
    <row r="745" spans="1:17" ht="31">
      <c r="A745" s="5">
        <v>740</v>
      </c>
      <c r="B745" s="6" t="s">
        <v>16</v>
      </c>
      <c r="C745" s="5" t="str">
        <f>HYPERLINK("http://data.overheid.nl/data/dataset/werkvakken-stortgebieden-zeeland","Werkvakken stortgebieden Zeeland")</f>
        <v>Werkvakken stortgebieden Zeeland</v>
      </c>
      <c r="D745" s="6" t="s">
        <v>17</v>
      </c>
      <c r="E745" s="5" t="s">
        <v>18</v>
      </c>
      <c r="F745" s="6" t="s">
        <v>813</v>
      </c>
      <c r="G745" s="5" t="s">
        <v>531</v>
      </c>
      <c r="H745" s="6" t="s">
        <v>20</v>
      </c>
      <c r="I745" s="5" t="s">
        <v>21</v>
      </c>
      <c r="J745" s="4" t="s">
        <v>22</v>
      </c>
      <c r="K745" s="2" t="s">
        <v>23</v>
      </c>
      <c r="L745" s="6" t="s">
        <v>24</v>
      </c>
      <c r="M745" s="5" t="s">
        <v>25</v>
      </c>
      <c r="N745" s="3" t="s">
        <v>26</v>
      </c>
      <c r="O745" s="5">
        <v>2</v>
      </c>
      <c r="P745" s="3" t="s">
        <v>23</v>
      </c>
      <c r="Q745" s="5"/>
    </row>
    <row r="746" spans="1:17" ht="31">
      <c r="A746" s="5">
        <v>741</v>
      </c>
      <c r="B746" s="6" t="s">
        <v>16</v>
      </c>
      <c r="C746" s="5" t="str">
        <f>HYPERLINK("http://data.overheid.nl/data/dataset/werkvakken-bestortingen-zeeland","Werkvakken bestortingen Zeeland")</f>
        <v>Werkvakken bestortingen Zeeland</v>
      </c>
      <c r="D746" s="6" t="s">
        <v>17</v>
      </c>
      <c r="E746" s="5" t="s">
        <v>18</v>
      </c>
      <c r="F746" s="6" t="s">
        <v>813</v>
      </c>
      <c r="G746" s="5" t="s">
        <v>532</v>
      </c>
      <c r="H746" s="6" t="s">
        <v>20</v>
      </c>
      <c r="I746" s="5" t="s">
        <v>21</v>
      </c>
      <c r="J746" s="4" t="s">
        <v>22</v>
      </c>
      <c r="K746" s="2" t="s">
        <v>23</v>
      </c>
      <c r="L746" s="6" t="s">
        <v>24</v>
      </c>
      <c r="M746" s="5" t="s">
        <v>25</v>
      </c>
      <c r="N746" s="3" t="s">
        <v>26</v>
      </c>
      <c r="O746" s="5">
        <v>2</v>
      </c>
      <c r="P746" s="3" t="s">
        <v>23</v>
      </c>
      <c r="Q746" s="5"/>
    </row>
    <row r="747" spans="1:17" ht="31">
      <c r="A747" s="5">
        <v>742</v>
      </c>
      <c r="B747" s="6" t="s">
        <v>16</v>
      </c>
      <c r="C747" s="5" t="str">
        <f>HYPERLINK("http://data.overheid.nl/data/dataset/vroegere-stortvakken-zeeland","Vroegere stortvakken Zeeland")</f>
        <v>Vroegere stortvakken Zeeland</v>
      </c>
      <c r="D747" s="6" t="s">
        <v>17</v>
      </c>
      <c r="E747" s="5" t="s">
        <v>18</v>
      </c>
      <c r="F747" s="6" t="s">
        <v>813</v>
      </c>
      <c r="G747" s="5" t="s">
        <v>533</v>
      </c>
      <c r="H747" s="6" t="s">
        <v>20</v>
      </c>
      <c r="I747" s="5" t="s">
        <v>21</v>
      </c>
      <c r="J747" s="4" t="s">
        <v>22</v>
      </c>
      <c r="K747" s="2" t="s">
        <v>23</v>
      </c>
      <c r="L747" s="6" t="s">
        <v>24</v>
      </c>
      <c r="M747" s="5" t="s">
        <v>25</v>
      </c>
      <c r="N747" s="3" t="s">
        <v>26</v>
      </c>
      <c r="O747" s="5">
        <v>2</v>
      </c>
      <c r="P747" s="3" t="s">
        <v>23</v>
      </c>
      <c r="Q747" s="5"/>
    </row>
    <row r="748" spans="1:17" ht="31">
      <c r="A748" s="5">
        <v>743</v>
      </c>
      <c r="B748" s="6" t="s">
        <v>16</v>
      </c>
      <c r="C748" s="5" t="str">
        <f>HYPERLINK("http://data.overheid.nl/data/dataset/vergunningen-zandwingebieden-zeeland","Vergunningen zandwingebieden Zeeland")</f>
        <v>Vergunningen zandwingebieden Zeeland</v>
      </c>
      <c r="D748" s="6" t="s">
        <v>17</v>
      </c>
      <c r="E748" s="5" t="s">
        <v>18</v>
      </c>
      <c r="F748" s="6" t="s">
        <v>813</v>
      </c>
      <c r="G748" s="5" t="s">
        <v>534</v>
      </c>
      <c r="H748" s="6" t="s">
        <v>20</v>
      </c>
      <c r="I748" s="5" t="s">
        <v>21</v>
      </c>
      <c r="J748" s="4" t="s">
        <v>22</v>
      </c>
      <c r="K748" s="2" t="s">
        <v>23</v>
      </c>
      <c r="L748" s="6" t="s">
        <v>24</v>
      </c>
      <c r="M748" s="5" t="s">
        <v>25</v>
      </c>
      <c r="N748" s="3" t="s">
        <v>26</v>
      </c>
      <c r="O748" s="5">
        <v>2</v>
      </c>
      <c r="P748" s="3" t="s">
        <v>23</v>
      </c>
      <c r="Q748" s="5"/>
    </row>
    <row r="749" spans="1:17" ht="31">
      <c r="A749" s="5">
        <v>744</v>
      </c>
      <c r="B749" s="6" t="s">
        <v>16</v>
      </c>
      <c r="C749" s="5" t="str">
        <f>HYPERLINK("http://data.overheid.nl/data/dataset/vergunningen-zandstortgebieden-zeeland","Vergunningen zandstortgebieden Zeeland")</f>
        <v>Vergunningen zandstortgebieden Zeeland</v>
      </c>
      <c r="D749" s="6" t="s">
        <v>17</v>
      </c>
      <c r="E749" s="5" t="s">
        <v>18</v>
      </c>
      <c r="F749" s="6" t="s">
        <v>813</v>
      </c>
      <c r="G749" s="5" t="s">
        <v>535</v>
      </c>
      <c r="H749" s="6" t="s">
        <v>20</v>
      </c>
      <c r="I749" s="5" t="s">
        <v>21</v>
      </c>
      <c r="J749" s="4" t="s">
        <v>22</v>
      </c>
      <c r="K749" s="2" t="s">
        <v>23</v>
      </c>
      <c r="L749" s="6" t="s">
        <v>24</v>
      </c>
      <c r="M749" s="5" t="s">
        <v>25</v>
      </c>
      <c r="N749" s="3" t="s">
        <v>26</v>
      </c>
      <c r="O749" s="5">
        <v>2</v>
      </c>
      <c r="P749" s="3" t="s">
        <v>23</v>
      </c>
      <c r="Q749" s="5"/>
    </row>
    <row r="750" spans="1:17" ht="46.5">
      <c r="A750" s="5">
        <v>745</v>
      </c>
      <c r="B750" s="6" t="s">
        <v>16</v>
      </c>
      <c r="C750" s="5" t="str">
        <f>HYPERLINK("http://data.overheid.nl/data/dataset/vakindeling-stortwal-loswal","Vakindeling Stortwal, Loswal")</f>
        <v>Vakindeling Stortwal, Loswal</v>
      </c>
      <c r="D750" s="6" t="s">
        <v>17</v>
      </c>
      <c r="E750" s="5" t="s">
        <v>18</v>
      </c>
      <c r="F750" s="6" t="s">
        <v>813</v>
      </c>
      <c r="G750" s="5" t="s">
        <v>536</v>
      </c>
      <c r="H750" s="6" t="s">
        <v>28</v>
      </c>
      <c r="I750" s="5" t="s">
        <v>21</v>
      </c>
      <c r="J750" s="7" t="s">
        <v>38</v>
      </c>
      <c r="K750" s="2" t="s">
        <v>23</v>
      </c>
      <c r="L750" s="6" t="s">
        <v>24</v>
      </c>
      <c r="M750" s="5" t="s">
        <v>25</v>
      </c>
      <c r="N750" s="3" t="s">
        <v>26</v>
      </c>
      <c r="O750" s="5">
        <v>4</v>
      </c>
      <c r="P750" s="3" t="s">
        <v>23</v>
      </c>
      <c r="Q750" s="5"/>
    </row>
    <row r="751" spans="1:17" ht="46.5">
      <c r="A751" s="5">
        <v>746</v>
      </c>
      <c r="B751" s="6" t="s">
        <v>16</v>
      </c>
      <c r="C751" s="5" t="str">
        <f>HYPERLINK("http://data.overheid.nl/data/dataset/stortwal-loswal","Stortwal, Loswal")</f>
        <v>Stortwal, Loswal</v>
      </c>
      <c r="D751" s="6" t="s">
        <v>17</v>
      </c>
      <c r="E751" s="5" t="s">
        <v>18</v>
      </c>
      <c r="F751" s="6" t="s">
        <v>813</v>
      </c>
      <c r="G751" s="5" t="s">
        <v>537</v>
      </c>
      <c r="H751" s="6" t="s">
        <v>20</v>
      </c>
      <c r="I751" s="5" t="s">
        <v>21</v>
      </c>
      <c r="J751" s="4" t="s">
        <v>22</v>
      </c>
      <c r="K751" s="2" t="s">
        <v>23</v>
      </c>
      <c r="L751" s="6" t="s">
        <v>24</v>
      </c>
      <c r="M751" s="5" t="s">
        <v>25</v>
      </c>
      <c r="N751" s="3" t="s">
        <v>26</v>
      </c>
      <c r="O751" s="5">
        <v>6</v>
      </c>
      <c r="P751" s="3" t="s">
        <v>23</v>
      </c>
      <c r="Q751" s="5"/>
    </row>
    <row r="752" spans="1:17" ht="31">
      <c r="A752" s="5">
        <v>747</v>
      </c>
      <c r="B752" s="6" t="s">
        <v>16</v>
      </c>
      <c r="C752" s="5" t="str">
        <f>HYPERLINK("http://data.overheid.nl/data/dataset/stortvakken-zeeland","Stortvakken Zeeland")</f>
        <v>Stortvakken Zeeland</v>
      </c>
      <c r="D752" s="6" t="s">
        <v>17</v>
      </c>
      <c r="E752" s="5" t="s">
        <v>18</v>
      </c>
      <c r="F752" s="6" t="s">
        <v>813</v>
      </c>
      <c r="G752" s="5" t="s">
        <v>538</v>
      </c>
      <c r="H752" s="6" t="s">
        <v>20</v>
      </c>
      <c r="I752" s="5" t="s">
        <v>21</v>
      </c>
      <c r="J752" s="4" t="s">
        <v>22</v>
      </c>
      <c r="K752" s="2" t="s">
        <v>23</v>
      </c>
      <c r="L752" s="6" t="s">
        <v>24</v>
      </c>
      <c r="M752" s="5" t="s">
        <v>25</v>
      </c>
      <c r="N752" s="3" t="s">
        <v>26</v>
      </c>
      <c r="O752" s="5">
        <v>2</v>
      </c>
      <c r="P752" s="3" t="s">
        <v>23</v>
      </c>
      <c r="Q752" s="5"/>
    </row>
    <row r="753" spans="1:17" ht="31">
      <c r="A753" s="5">
        <v>748</v>
      </c>
      <c r="B753" s="6" t="s">
        <v>16</v>
      </c>
      <c r="C753" s="5" t="str">
        <f>HYPERLINK("http://data.overheid.nl/data/dataset/privaat-percelen-zeeland","Privaat percelen Zeeland")</f>
        <v>Privaat percelen Zeeland</v>
      </c>
      <c r="D753" s="6" t="s">
        <v>17</v>
      </c>
      <c r="E753" s="5" t="s">
        <v>18</v>
      </c>
      <c r="F753" s="6" t="s">
        <v>813</v>
      </c>
      <c r="G753" s="5" t="s">
        <v>539</v>
      </c>
      <c r="H753" s="6" t="s">
        <v>20</v>
      </c>
      <c r="I753" s="5" t="s">
        <v>21</v>
      </c>
      <c r="J753" s="4" t="s">
        <v>22</v>
      </c>
      <c r="K753" s="2" t="s">
        <v>23</v>
      </c>
      <c r="L753" s="6" t="s">
        <v>24</v>
      </c>
      <c r="M753" s="5" t="s">
        <v>25</v>
      </c>
      <c r="N753" s="3" t="s">
        <v>26</v>
      </c>
      <c r="O753" s="5">
        <v>2</v>
      </c>
      <c r="P753" s="3" t="s">
        <v>23</v>
      </c>
      <c r="Q753" s="5"/>
    </row>
    <row r="754" spans="1:17" ht="31">
      <c r="A754" s="5">
        <v>749</v>
      </c>
      <c r="B754" s="6" t="s">
        <v>16</v>
      </c>
      <c r="C754" s="5" t="str">
        <f>HYPERLINK("http://data.overheid.nl/data/dataset/peilraaien-zeeland","Peilraaien Zeeland")</f>
        <v>Peilraaien Zeeland</v>
      </c>
      <c r="D754" s="6" t="s">
        <v>17</v>
      </c>
      <c r="E754" s="5" t="s">
        <v>18</v>
      </c>
      <c r="F754" s="6" t="s">
        <v>813</v>
      </c>
      <c r="G754" s="5" t="s">
        <v>540</v>
      </c>
      <c r="H754" s="6" t="s">
        <v>20</v>
      </c>
      <c r="I754" s="5" t="s">
        <v>21</v>
      </c>
      <c r="J754" s="4" t="s">
        <v>22</v>
      </c>
      <c r="K754" s="2" t="s">
        <v>23</v>
      </c>
      <c r="L754" s="6" t="s">
        <v>24</v>
      </c>
      <c r="M754" s="5" t="s">
        <v>25</v>
      </c>
      <c r="N754" s="3" t="s">
        <v>26</v>
      </c>
      <c r="O754" s="5">
        <v>2</v>
      </c>
      <c r="P754" s="3" t="s">
        <v>23</v>
      </c>
      <c r="Q754" s="5"/>
    </row>
    <row r="755" spans="1:17" ht="31">
      <c r="A755" s="5">
        <v>750</v>
      </c>
      <c r="B755" s="6" t="s">
        <v>16</v>
      </c>
      <c r="C755" s="5" t="str">
        <f>HYPERLINK("http://data.overheid.nl/data/dataset/oeverwerken-in-zeeland","Oeverwerken in Zeeland")</f>
        <v>Oeverwerken in Zeeland</v>
      </c>
      <c r="D755" s="6" t="s">
        <v>17</v>
      </c>
      <c r="E755" s="5" t="s">
        <v>18</v>
      </c>
      <c r="F755" s="6" t="s">
        <v>813</v>
      </c>
      <c r="G755" s="5" t="s">
        <v>541</v>
      </c>
      <c r="H755" s="6" t="s">
        <v>20</v>
      </c>
      <c r="I755" s="5" t="s">
        <v>21</v>
      </c>
      <c r="J755" s="4" t="s">
        <v>22</v>
      </c>
      <c r="K755" s="2" t="s">
        <v>23</v>
      </c>
      <c r="L755" s="6" t="s">
        <v>24</v>
      </c>
      <c r="M755" s="5" t="s">
        <v>25</v>
      </c>
      <c r="N755" s="3" t="s">
        <v>26</v>
      </c>
      <c r="O755" s="5">
        <v>2</v>
      </c>
      <c r="P755" s="3" t="s">
        <v>23</v>
      </c>
      <c r="Q755" s="5"/>
    </row>
    <row r="756" spans="1:17" ht="31">
      <c r="A756" s="5">
        <v>751</v>
      </c>
      <c r="B756" s="6" t="s">
        <v>16</v>
      </c>
      <c r="C756" s="5" t="str">
        <f>HYPERLINK("http://data.overheid.nl/data/dataset/kabels-en-leidingen-zeeland","Kabels en leidingen Zeeland")</f>
        <v>Kabels en leidingen Zeeland</v>
      </c>
      <c r="D756" s="6" t="s">
        <v>17</v>
      </c>
      <c r="E756" s="5" t="s">
        <v>18</v>
      </c>
      <c r="F756" s="6" t="s">
        <v>813</v>
      </c>
      <c r="G756" s="5" t="s">
        <v>542</v>
      </c>
      <c r="H756" s="6" t="s">
        <v>20</v>
      </c>
      <c r="I756" s="5" t="s">
        <v>21</v>
      </c>
      <c r="J756" s="4" t="s">
        <v>22</v>
      </c>
      <c r="K756" s="2" t="s">
        <v>23</v>
      </c>
      <c r="L756" s="6" t="s">
        <v>24</v>
      </c>
      <c r="M756" s="5" t="s">
        <v>25</v>
      </c>
      <c r="N756" s="3" t="s">
        <v>26</v>
      </c>
      <c r="O756" s="5">
        <v>2</v>
      </c>
      <c r="P756" s="3" t="s">
        <v>23</v>
      </c>
      <c r="Q756" s="5"/>
    </row>
    <row r="757" spans="1:17" ht="31">
      <c r="A757" s="5">
        <v>752</v>
      </c>
      <c r="B757" s="6" t="s">
        <v>16</v>
      </c>
      <c r="C757" s="5" t="str">
        <f>HYPERLINK("http://data.overheid.nl/data/dataset/huurders-visserij-zeeland","Huurders visserij Zeeland")</f>
        <v>Huurders visserij Zeeland</v>
      </c>
      <c r="D757" s="6" t="s">
        <v>17</v>
      </c>
      <c r="E757" s="5" t="s">
        <v>18</v>
      </c>
      <c r="F757" s="6" t="s">
        <v>813</v>
      </c>
      <c r="G757" s="5" t="s">
        <v>543</v>
      </c>
      <c r="H757" s="6" t="s">
        <v>20</v>
      </c>
      <c r="I757" s="5" t="s">
        <v>21</v>
      </c>
      <c r="J757" s="4" t="s">
        <v>22</v>
      </c>
      <c r="K757" s="2" t="s">
        <v>23</v>
      </c>
      <c r="L757" s="6" t="s">
        <v>24</v>
      </c>
      <c r="M757" s="5" t="s">
        <v>25</v>
      </c>
      <c r="N757" s="3" t="s">
        <v>26</v>
      </c>
      <c r="O757" s="5">
        <v>2</v>
      </c>
      <c r="P757" s="3" t="s">
        <v>23</v>
      </c>
      <c r="Q757" s="5"/>
    </row>
    <row r="758" spans="1:17" ht="31">
      <c r="A758" s="5">
        <v>753</v>
      </c>
      <c r="B758" s="6" t="s">
        <v>16</v>
      </c>
      <c r="C758" s="5" t="str">
        <f>HYPERLINK("http://data.overheid.nl/data/dataset/hoekpunten-stortvakken-zeeland","Hoekpunten stortvakken Zeeland")</f>
        <v>Hoekpunten stortvakken Zeeland</v>
      </c>
      <c r="D758" s="6" t="s">
        <v>17</v>
      </c>
      <c r="E758" s="5" t="s">
        <v>18</v>
      </c>
      <c r="F758" s="6" t="s">
        <v>813</v>
      </c>
      <c r="G758" s="5" t="s">
        <v>544</v>
      </c>
      <c r="H758" s="6" t="s">
        <v>20</v>
      </c>
      <c r="I758" s="5" t="s">
        <v>21</v>
      </c>
      <c r="J758" s="4" t="s">
        <v>22</v>
      </c>
      <c r="K758" s="2" t="s">
        <v>23</v>
      </c>
      <c r="L758" s="6" t="s">
        <v>24</v>
      </c>
      <c r="M758" s="5" t="s">
        <v>25</v>
      </c>
      <c r="N758" s="3" t="s">
        <v>26</v>
      </c>
      <c r="O758" s="5">
        <v>2</v>
      </c>
      <c r="P758" s="3" t="s">
        <v>23</v>
      </c>
      <c r="Q758" s="5"/>
    </row>
    <row r="759" spans="1:17" ht="31">
      <c r="A759" s="5">
        <v>754</v>
      </c>
      <c r="B759" s="6" t="s">
        <v>16</v>
      </c>
      <c r="C759" s="5" t="str">
        <f>HYPERLINK("http://data.overheid.nl/data/dataset/gebieden-van-aandacht-zeeland","Gebieden van aandacht Zeeland")</f>
        <v>Gebieden van aandacht Zeeland</v>
      </c>
      <c r="D759" s="6" t="s">
        <v>17</v>
      </c>
      <c r="E759" s="5" t="s">
        <v>18</v>
      </c>
      <c r="F759" s="6" t="s">
        <v>813</v>
      </c>
      <c r="G759" s="5" t="s">
        <v>545</v>
      </c>
      <c r="H759" s="6" t="s">
        <v>20</v>
      </c>
      <c r="I759" s="5" t="s">
        <v>21</v>
      </c>
      <c r="J759" s="4" t="s">
        <v>22</v>
      </c>
      <c r="K759" s="2" t="s">
        <v>23</v>
      </c>
      <c r="L759" s="6" t="s">
        <v>24</v>
      </c>
      <c r="M759" s="5" t="s">
        <v>25</v>
      </c>
      <c r="N759" s="3" t="s">
        <v>26</v>
      </c>
      <c r="O759" s="5">
        <v>2</v>
      </c>
      <c r="P759" s="3" t="s">
        <v>23</v>
      </c>
      <c r="Q759" s="5"/>
    </row>
    <row r="760" spans="1:17" ht="31">
      <c r="A760" s="5">
        <v>755</v>
      </c>
      <c r="B760" s="6" t="s">
        <v>16</v>
      </c>
      <c r="C760" s="5" t="str">
        <f>HYPERLINK("http://data.overheid.nl/data/dataset/gebieden-met-mosselkweek-schelpdierenkweek-en-visserij","Gebieden met Mosselkweek, schelpdierenkweek en visserij")</f>
        <v>Gebieden met Mosselkweek, schelpdierenkweek en visserij</v>
      </c>
      <c r="D760" s="6" t="s">
        <v>17</v>
      </c>
      <c r="E760" s="5" t="s">
        <v>18</v>
      </c>
      <c r="F760" s="6" t="s">
        <v>813</v>
      </c>
      <c r="G760" s="5" t="s">
        <v>546</v>
      </c>
      <c r="H760" s="6" t="s">
        <v>20</v>
      </c>
      <c r="I760" s="5" t="s">
        <v>21</v>
      </c>
      <c r="J760" s="4" t="s">
        <v>22</v>
      </c>
      <c r="K760" s="2" t="s">
        <v>23</v>
      </c>
      <c r="L760" s="6" t="s">
        <v>24</v>
      </c>
      <c r="M760" s="5" t="s">
        <v>25</v>
      </c>
      <c r="N760" s="3" t="s">
        <v>26</v>
      </c>
      <c r="O760" s="5">
        <v>8</v>
      </c>
      <c r="P760" s="3" t="s">
        <v>23</v>
      </c>
      <c r="Q760" s="5"/>
    </row>
    <row r="761" spans="1:17" ht="31">
      <c r="A761" s="5">
        <v>756</v>
      </c>
      <c r="B761" s="6" t="s">
        <v>16</v>
      </c>
      <c r="C761" s="5" t="str">
        <f>HYPERLINK("http://data.overheid.nl/data/dataset/duikverboden-zeeland","Duikverboden Zeeland")</f>
        <v>Duikverboden Zeeland</v>
      </c>
      <c r="D761" s="6" t="s">
        <v>17</v>
      </c>
      <c r="E761" s="5" t="s">
        <v>18</v>
      </c>
      <c r="F761" s="6" t="s">
        <v>813</v>
      </c>
      <c r="G761" s="5" t="s">
        <v>547</v>
      </c>
      <c r="H761" s="6" t="s">
        <v>20</v>
      </c>
      <c r="I761" s="5" t="s">
        <v>21</v>
      </c>
      <c r="J761" s="4" t="s">
        <v>22</v>
      </c>
      <c r="K761" s="2" t="s">
        <v>23</v>
      </c>
      <c r="L761" s="6" t="s">
        <v>24</v>
      </c>
      <c r="M761" s="5" t="s">
        <v>25</v>
      </c>
      <c r="N761" s="3" t="s">
        <v>26</v>
      </c>
      <c r="O761" s="5">
        <v>2</v>
      </c>
      <c r="P761" s="3" t="s">
        <v>23</v>
      </c>
      <c r="Q761" s="5"/>
    </row>
    <row r="762" spans="1:17" ht="31">
      <c r="A762" s="5">
        <v>757</v>
      </c>
      <c r="B762" s="6" t="s">
        <v>16</v>
      </c>
      <c r="C762" s="5" t="str">
        <f>HYPERLINK("http://data.overheid.nl/data/dataset/duiklocaties-nob-2008","Duiklocaties NOB 2008")</f>
        <v>Duiklocaties NOB 2008</v>
      </c>
      <c r="D762" s="6" t="s">
        <v>17</v>
      </c>
      <c r="E762" s="5" t="s">
        <v>18</v>
      </c>
      <c r="F762" s="6" t="s">
        <v>813</v>
      </c>
      <c r="G762" s="5" t="s">
        <v>548</v>
      </c>
      <c r="H762" s="6" t="s">
        <v>20</v>
      </c>
      <c r="I762" s="5" t="s">
        <v>21</v>
      </c>
      <c r="J762" s="4" t="s">
        <v>22</v>
      </c>
      <c r="K762" s="2" t="s">
        <v>23</v>
      </c>
      <c r="L762" s="6" t="s">
        <v>24</v>
      </c>
      <c r="M762" s="5" t="s">
        <v>25</v>
      </c>
      <c r="N762" s="3" t="s">
        <v>26</v>
      </c>
      <c r="O762" s="5">
        <v>2</v>
      </c>
      <c r="P762" s="3" t="s">
        <v>23</v>
      </c>
      <c r="Q762" s="5"/>
    </row>
    <row r="763" spans="1:17" ht="31">
      <c r="A763" s="5">
        <v>758</v>
      </c>
      <c r="B763" s="6" t="s">
        <v>16</v>
      </c>
      <c r="C763" s="5" t="str">
        <f>HYPERLINK("http://data.overheid.nl/data/dataset/clustergebieden-met-waardering-zeeland","Clustergebieden met waardering Zeeland")</f>
        <v>Clustergebieden met waardering Zeeland</v>
      </c>
      <c r="D763" s="6" t="s">
        <v>17</v>
      </c>
      <c r="E763" s="5" t="s">
        <v>18</v>
      </c>
      <c r="F763" s="6" t="s">
        <v>813</v>
      </c>
      <c r="G763" s="5" t="s">
        <v>549</v>
      </c>
      <c r="H763" s="6" t="s">
        <v>20</v>
      </c>
      <c r="I763" s="5" t="s">
        <v>21</v>
      </c>
      <c r="J763" s="4" t="s">
        <v>22</v>
      </c>
      <c r="K763" s="2" t="s">
        <v>23</v>
      </c>
      <c r="L763" s="6" t="s">
        <v>24</v>
      </c>
      <c r="M763" s="5" t="s">
        <v>25</v>
      </c>
      <c r="N763" s="3" t="s">
        <v>26</v>
      </c>
      <c r="O763" s="5">
        <v>2</v>
      </c>
      <c r="P763" s="3" t="s">
        <v>23</v>
      </c>
      <c r="Q763" s="5"/>
    </row>
    <row r="764" spans="1:17" ht="31">
      <c r="A764" s="5">
        <v>759</v>
      </c>
      <c r="B764" s="6" t="s">
        <v>16</v>
      </c>
      <c r="C764" s="5" t="str">
        <f>HYPERLINK("http://data.overheid.nl/data/dataset/bijzondere-objecten-zeeland","Bijzondere objecten Zeeland")</f>
        <v>Bijzondere objecten Zeeland</v>
      </c>
      <c r="D764" s="6" t="s">
        <v>17</v>
      </c>
      <c r="E764" s="5" t="s">
        <v>18</v>
      </c>
      <c r="F764" s="6" t="s">
        <v>813</v>
      </c>
      <c r="G764" s="5" t="s">
        <v>550</v>
      </c>
      <c r="H764" s="6" t="s">
        <v>20</v>
      </c>
      <c r="I764" s="5" t="s">
        <v>21</v>
      </c>
      <c r="J764" s="4" t="s">
        <v>22</v>
      </c>
      <c r="K764" s="2" t="s">
        <v>23</v>
      </c>
      <c r="L764" s="6" t="s">
        <v>24</v>
      </c>
      <c r="M764" s="5" t="s">
        <v>25</v>
      </c>
      <c r="N764" s="3" t="s">
        <v>26</v>
      </c>
      <c r="O764" s="5">
        <v>6</v>
      </c>
      <c r="P764" s="3" t="s">
        <v>23</v>
      </c>
      <c r="Q764" s="5"/>
    </row>
    <row r="765" spans="1:17" ht="31">
      <c r="A765" s="5">
        <v>760</v>
      </c>
      <c r="B765" s="6" t="s">
        <v>16</v>
      </c>
      <c r="C765" s="5" t="str">
        <f>HYPERLINK("http://data.overheid.nl/data/dataset/bijzondere-lijnobjecten-zeeland","Bijzondere lijnobjecten Zeeland")</f>
        <v>Bijzondere lijnobjecten Zeeland</v>
      </c>
      <c r="D765" s="6" t="s">
        <v>17</v>
      </c>
      <c r="E765" s="5" t="s">
        <v>18</v>
      </c>
      <c r="F765" s="6" t="s">
        <v>813</v>
      </c>
      <c r="G765" s="5" t="s">
        <v>551</v>
      </c>
      <c r="H765" s="6" t="s">
        <v>20</v>
      </c>
      <c r="I765" s="5" t="s">
        <v>21</v>
      </c>
      <c r="J765" s="4" t="s">
        <v>22</v>
      </c>
      <c r="K765" s="2" t="s">
        <v>23</v>
      </c>
      <c r="L765" s="6" t="s">
        <v>24</v>
      </c>
      <c r="M765" s="5" t="s">
        <v>25</v>
      </c>
      <c r="N765" s="3" t="s">
        <v>26</v>
      </c>
      <c r="O765" s="5">
        <v>6</v>
      </c>
      <c r="P765" s="3" t="s">
        <v>23</v>
      </c>
      <c r="Q765" s="5"/>
    </row>
    <row r="766" spans="1:17" ht="31">
      <c r="A766" s="5">
        <v>761</v>
      </c>
      <c r="B766" s="6" t="s">
        <v>16</v>
      </c>
      <c r="C766" s="5" t="str">
        <f>HYPERLINK("http://data.overheid.nl/data/dataset/bijzondere-gebieden-zeeland","Bijzondere gebieden Zeeland")</f>
        <v>Bijzondere gebieden Zeeland</v>
      </c>
      <c r="D766" s="6" t="s">
        <v>17</v>
      </c>
      <c r="E766" s="5" t="s">
        <v>18</v>
      </c>
      <c r="F766" s="6" t="s">
        <v>813</v>
      </c>
      <c r="G766" s="5" t="s">
        <v>552</v>
      </c>
      <c r="H766" s="6" t="s">
        <v>20</v>
      </c>
      <c r="I766" s="5" t="s">
        <v>21</v>
      </c>
      <c r="J766" s="4" t="s">
        <v>22</v>
      </c>
      <c r="K766" s="2" t="s">
        <v>23</v>
      </c>
      <c r="L766" s="6" t="s">
        <v>24</v>
      </c>
      <c r="M766" s="5" t="s">
        <v>25</v>
      </c>
      <c r="N766" s="3" t="s">
        <v>26</v>
      </c>
      <c r="O766" s="5">
        <v>4</v>
      </c>
      <c r="P766" s="3" t="s">
        <v>23</v>
      </c>
      <c r="Q766" s="5"/>
    </row>
    <row r="767" spans="1:17" ht="46.5">
      <c r="A767" s="5">
        <v>762</v>
      </c>
      <c r="B767" s="6" t="s">
        <v>16</v>
      </c>
      <c r="C767" s="5" t="str">
        <f>HYPERLINK("http://data.overheid.nl/data/dataset/v-westerschelde-2010","v_Westerschelde_2010")</f>
        <v>v_Westerschelde_2010</v>
      </c>
      <c r="D767" s="6" t="s">
        <v>17</v>
      </c>
      <c r="E767" s="5" t="s">
        <v>18</v>
      </c>
      <c r="F767" s="6" t="s">
        <v>813</v>
      </c>
      <c r="G767" s="5" t="s">
        <v>553</v>
      </c>
      <c r="H767" s="6" t="s">
        <v>20</v>
      </c>
      <c r="I767" s="5" t="s">
        <v>21</v>
      </c>
      <c r="J767" s="4" t="s">
        <v>22</v>
      </c>
      <c r="K767" s="2" t="s">
        <v>23</v>
      </c>
      <c r="L767" s="6" t="s">
        <v>24</v>
      </c>
      <c r="M767" s="5" t="s">
        <v>25</v>
      </c>
      <c r="N767" s="3" t="s">
        <v>26</v>
      </c>
      <c r="O767" s="5">
        <v>2</v>
      </c>
      <c r="P767" s="3" t="s">
        <v>23</v>
      </c>
      <c r="Q767" s="5"/>
    </row>
    <row r="768" spans="1:17" ht="46.5">
      <c r="A768" s="5">
        <v>763</v>
      </c>
      <c r="B768" s="6" t="s">
        <v>16</v>
      </c>
      <c r="C768" s="5" t="str">
        <f>HYPERLINK("http://data.overheid.nl/data/dataset/locaties-helicopterfotos-20141002","Locaties helicopterfotos 20141002")</f>
        <v>Locaties helicopterfotos 20141002</v>
      </c>
      <c r="D768" s="6" t="s">
        <v>17</v>
      </c>
      <c r="E768" s="5" t="s">
        <v>18</v>
      </c>
      <c r="F768" s="6" t="s">
        <v>813</v>
      </c>
      <c r="G768" s="5" t="s">
        <v>554</v>
      </c>
      <c r="H768" s="6" t="s">
        <v>20</v>
      </c>
      <c r="I768" s="5" t="s">
        <v>21</v>
      </c>
      <c r="J768" s="4" t="s">
        <v>22</v>
      </c>
      <c r="K768" s="2" t="s">
        <v>23</v>
      </c>
      <c r="L768" s="6" t="s">
        <v>24</v>
      </c>
      <c r="M768" s="5" t="s">
        <v>25</v>
      </c>
      <c r="N768" s="3" t="s">
        <v>26</v>
      </c>
      <c r="O768" s="5">
        <v>2</v>
      </c>
      <c r="P768" s="3" t="s">
        <v>23</v>
      </c>
      <c r="Q768" s="5"/>
    </row>
    <row r="769" spans="1:17" ht="46.5">
      <c r="A769" s="5">
        <v>764</v>
      </c>
      <c r="B769" s="6" t="s">
        <v>16</v>
      </c>
      <c r="C769" s="5" t="str">
        <f>HYPERLINK("http://data.overheid.nl/data/dataset/markeerdieptekaart-tov-lat","Markeerdieptekaart tov LAT")</f>
        <v>Markeerdieptekaart tov LAT</v>
      </c>
      <c r="D769" s="6" t="s">
        <v>17</v>
      </c>
      <c r="E769" s="5" t="s">
        <v>18</v>
      </c>
      <c r="F769" s="6" t="s">
        <v>813</v>
      </c>
      <c r="G769" s="5" t="s">
        <v>555</v>
      </c>
      <c r="H769" s="6" t="s">
        <v>20</v>
      </c>
      <c r="I769" s="5" t="s">
        <v>21</v>
      </c>
      <c r="J769" s="4" t="s">
        <v>22</v>
      </c>
      <c r="K769" s="2" t="s">
        <v>23</v>
      </c>
      <c r="L769" s="6" t="s">
        <v>24</v>
      </c>
      <c r="M769" s="5" t="s">
        <v>25</v>
      </c>
      <c r="N769" s="3" t="s">
        <v>26</v>
      </c>
      <c r="O769" s="5">
        <v>2</v>
      </c>
      <c r="P769" s="3" t="s">
        <v>23</v>
      </c>
      <c r="Q769" s="5"/>
    </row>
    <row r="770" spans="1:17" ht="31">
      <c r="A770" s="5">
        <v>765</v>
      </c>
      <c r="B770" s="6" t="s">
        <v>16</v>
      </c>
      <c r="C770" s="5" t="str">
        <f>HYPERLINK("http://data.overheid.nl/data/dataset/wegenkaart-nederland-2013","Wegenkaart Nederland 2013")</f>
        <v>Wegenkaart Nederland 2013</v>
      </c>
      <c r="D770" s="6" t="s">
        <v>17</v>
      </c>
      <c r="E770" s="5" t="s">
        <v>18</v>
      </c>
      <c r="F770" s="6" t="s">
        <v>813</v>
      </c>
      <c r="G770" s="5" t="s">
        <v>556</v>
      </c>
      <c r="H770" s="6" t="s">
        <v>20</v>
      </c>
      <c r="I770" s="5" t="s">
        <v>21</v>
      </c>
      <c r="J770" s="4" t="s">
        <v>22</v>
      </c>
      <c r="K770" s="2" t="s">
        <v>23</v>
      </c>
      <c r="L770" s="6" t="s">
        <v>24</v>
      </c>
      <c r="M770" s="5" t="s">
        <v>25</v>
      </c>
      <c r="N770" s="3" t="s">
        <v>26</v>
      </c>
      <c r="O770" s="5">
        <v>2</v>
      </c>
      <c r="P770" s="3" t="s">
        <v>23</v>
      </c>
      <c r="Q770" s="5"/>
    </row>
    <row r="771" spans="1:17" ht="108.5">
      <c r="A771" s="5">
        <v>766</v>
      </c>
      <c r="B771" s="6" t="s">
        <v>16</v>
      </c>
      <c r="C771" s="5" t="str">
        <f>HYPERLINK("http://data.overheid.nl/data/dataset/eu-geluidkaart-omgevingslawaai-2011-over-het-etmaal-lden","EU-geluidkaart omgevingslawaai 2011 over het etmaal (Lden)")</f>
        <v>EU-geluidkaart omgevingslawaai 2011 over het etmaal (Lden)</v>
      </c>
      <c r="D771" s="6" t="s">
        <v>17</v>
      </c>
      <c r="E771" s="5" t="s">
        <v>18</v>
      </c>
      <c r="F771" s="6" t="s">
        <v>813</v>
      </c>
      <c r="G771" s="5" t="s">
        <v>557</v>
      </c>
      <c r="H771" s="6" t="s">
        <v>20</v>
      </c>
      <c r="I771" s="5" t="s">
        <v>21</v>
      </c>
      <c r="J771" s="7" t="s">
        <v>38</v>
      </c>
      <c r="K771" s="2" t="s">
        <v>23</v>
      </c>
      <c r="L771" s="6" t="s">
        <v>24</v>
      </c>
      <c r="M771" s="5" t="s">
        <v>25</v>
      </c>
      <c r="N771" s="3" t="s">
        <v>26</v>
      </c>
      <c r="O771" s="5">
        <v>4</v>
      </c>
      <c r="P771" s="3" t="s">
        <v>23</v>
      </c>
      <c r="Q771" s="5"/>
    </row>
    <row r="772" spans="1:17" ht="108.5">
      <c r="A772" s="5">
        <v>767</v>
      </c>
      <c r="B772" s="6" t="s">
        <v>16</v>
      </c>
      <c r="C772" s="5" t="str">
        <f>HYPERLINK("http://data.overheid.nl/data/dataset/eu-geluidkaart-omgevingslawaai-2011-over-de-nacht-lnight","EU-geluidkaart omgevingslawaai 2011 over de nacht (Lnight)")</f>
        <v>EU-geluidkaart omgevingslawaai 2011 over de nacht (Lnight)</v>
      </c>
      <c r="D772" s="6" t="s">
        <v>17</v>
      </c>
      <c r="E772" s="5" t="s">
        <v>18</v>
      </c>
      <c r="F772" s="6" t="s">
        <v>813</v>
      </c>
      <c r="G772" s="5" t="s">
        <v>557</v>
      </c>
      <c r="H772" s="6" t="s">
        <v>28</v>
      </c>
      <c r="I772" s="5" t="s">
        <v>21</v>
      </c>
      <c r="J772" s="7" t="s">
        <v>38</v>
      </c>
      <c r="K772" s="2" t="s">
        <v>23</v>
      </c>
      <c r="L772" s="6" t="s">
        <v>24</v>
      </c>
      <c r="M772" s="5" t="s">
        <v>25</v>
      </c>
      <c r="N772" s="3" t="s">
        <v>26</v>
      </c>
      <c r="O772" s="5">
        <v>6</v>
      </c>
      <c r="P772" s="3" t="s">
        <v>23</v>
      </c>
      <c r="Q772" s="5"/>
    </row>
    <row r="773" spans="1:17" ht="108.5">
      <c r="A773" s="5">
        <v>768</v>
      </c>
      <c r="B773" s="6" t="s">
        <v>16</v>
      </c>
      <c r="C773" s="5" t="str">
        <f>HYPERLINK("http://data.overheid.nl/data/dataset/hydrografische-kaart-ijsselmeergebied-1935-kust","Hydrografische kaart IJsselmeergebied 1935 - kust")</f>
        <v>Hydrografische kaart IJsselmeergebied 1935 - kust</v>
      </c>
      <c r="D773" s="6" t="s">
        <v>17</v>
      </c>
      <c r="E773" s="5" t="s">
        <v>18</v>
      </c>
      <c r="F773" s="6" t="s">
        <v>813</v>
      </c>
      <c r="G773" s="5" t="s">
        <v>558</v>
      </c>
      <c r="H773" s="6" t="s">
        <v>20</v>
      </c>
      <c r="I773" s="5" t="s">
        <v>21</v>
      </c>
      <c r="J773" s="4" t="s">
        <v>22</v>
      </c>
      <c r="K773" s="2" t="s">
        <v>23</v>
      </c>
      <c r="L773" s="6" t="s">
        <v>24</v>
      </c>
      <c r="M773" s="5" t="s">
        <v>25</v>
      </c>
      <c r="N773" s="3" t="s">
        <v>26</v>
      </c>
      <c r="O773" s="5">
        <v>2</v>
      </c>
      <c r="P773" s="3" t="s">
        <v>23</v>
      </c>
      <c r="Q773" s="5"/>
    </row>
    <row r="774" spans="1:17" ht="108.5">
      <c r="A774" s="5">
        <v>769</v>
      </c>
      <c r="B774" s="6" t="s">
        <v>16</v>
      </c>
      <c r="C774" s="5" t="str">
        <f>HYPERLINK("http://data.overheid.nl/data/dataset/hydrografische-kaart-ijsselmeergebied-1935-dieptepunten","Hydrografische kaart IJsselmeergebied 1935 - dieptepunten")</f>
        <v>Hydrografische kaart IJsselmeergebied 1935 - dieptepunten</v>
      </c>
      <c r="D774" s="6" t="s">
        <v>17</v>
      </c>
      <c r="E774" s="5" t="s">
        <v>18</v>
      </c>
      <c r="F774" s="6" t="s">
        <v>813</v>
      </c>
      <c r="G774" s="5" t="s">
        <v>559</v>
      </c>
      <c r="H774" s="6" t="s">
        <v>20</v>
      </c>
      <c r="I774" s="5" t="s">
        <v>21</v>
      </c>
      <c r="J774" s="4" t="s">
        <v>22</v>
      </c>
      <c r="K774" s="2" t="s">
        <v>23</v>
      </c>
      <c r="L774" s="6" t="s">
        <v>24</v>
      </c>
      <c r="M774" s="5" t="s">
        <v>25</v>
      </c>
      <c r="N774" s="3" t="s">
        <v>26</v>
      </c>
      <c r="O774" s="5">
        <v>2</v>
      </c>
      <c r="P774" s="3" t="s">
        <v>23</v>
      </c>
      <c r="Q774" s="5"/>
    </row>
    <row r="775" spans="1:17" ht="108.5">
      <c r="A775" s="5">
        <v>770</v>
      </c>
      <c r="B775" s="6" t="s">
        <v>16</v>
      </c>
      <c r="C775" s="5" t="str">
        <f>HYPERLINK("http://data.overheid.nl/data/dataset/hydrografische-kaart-ijsselmeergebied-1935-dieptelijnen","Hydrografische kaart IJsselmeergebied 1935 - dieptelijnen")</f>
        <v>Hydrografische kaart IJsselmeergebied 1935 - dieptelijnen</v>
      </c>
      <c r="D775" s="6" t="s">
        <v>17</v>
      </c>
      <c r="E775" s="5" t="s">
        <v>18</v>
      </c>
      <c r="F775" s="6" t="s">
        <v>813</v>
      </c>
      <c r="G775" s="5" t="s">
        <v>560</v>
      </c>
      <c r="H775" s="6" t="s">
        <v>20</v>
      </c>
      <c r="I775" s="5" t="s">
        <v>21</v>
      </c>
      <c r="J775" s="4" t="s">
        <v>22</v>
      </c>
      <c r="K775" s="2" t="s">
        <v>23</v>
      </c>
      <c r="L775" s="6" t="s">
        <v>24</v>
      </c>
      <c r="M775" s="5" t="s">
        <v>25</v>
      </c>
      <c r="N775" s="3" t="s">
        <v>26</v>
      </c>
      <c r="O775" s="5">
        <v>4</v>
      </c>
      <c r="P775" s="3" t="s">
        <v>23</v>
      </c>
      <c r="Q775" s="5"/>
    </row>
    <row r="776" spans="1:17" ht="139.5">
      <c r="A776" s="5">
        <v>771</v>
      </c>
      <c r="B776" s="6" t="s">
        <v>16</v>
      </c>
      <c r="C776" s="5" t="str">
        <f>HYPERLINK("http://data.overheid.nl/data/dataset/hydrografische-kaart-ijsselmeergebied-1935-bodemdieptemodel","Hydrografische kaart IJsselmeergebied 1935 - bodemdieptemodel")</f>
        <v>Hydrografische kaart IJsselmeergebied 1935 - bodemdieptemodel</v>
      </c>
      <c r="D776" s="6" t="s">
        <v>17</v>
      </c>
      <c r="E776" s="5" t="s">
        <v>18</v>
      </c>
      <c r="F776" s="6" t="s">
        <v>813</v>
      </c>
      <c r="G776" s="5" t="s">
        <v>561</v>
      </c>
      <c r="H776" s="6" t="s">
        <v>20</v>
      </c>
      <c r="I776" s="5" t="s">
        <v>21</v>
      </c>
      <c r="J776" s="4" t="s">
        <v>22</v>
      </c>
      <c r="K776" s="2" t="s">
        <v>23</v>
      </c>
      <c r="L776" s="6" t="s">
        <v>24</v>
      </c>
      <c r="M776" s="5" t="s">
        <v>25</v>
      </c>
      <c r="N776" s="3" t="s">
        <v>26</v>
      </c>
      <c r="O776" s="5">
        <v>2</v>
      </c>
      <c r="P776" s="3" t="s">
        <v>23</v>
      </c>
      <c r="Q776" s="5"/>
    </row>
    <row r="777" spans="1:17" ht="155">
      <c r="A777" s="5">
        <v>772</v>
      </c>
      <c r="B777" s="6" t="s">
        <v>16</v>
      </c>
      <c r="C777" s="5" t="str">
        <f>HYPERLINK("http://data.overheid.nl/data/dataset/krw-toetsingskader-potentieel-relevant-areaal-waterplanten","KRW toetsingskader potentieel relevant areaal waterplanten")</f>
        <v>KRW toetsingskader potentieel relevant areaal waterplanten</v>
      </c>
      <c r="D777" s="6" t="s">
        <v>17</v>
      </c>
      <c r="E777" s="5" t="s">
        <v>18</v>
      </c>
      <c r="F777" s="6" t="s">
        <v>813</v>
      </c>
      <c r="G777" s="5" t="s">
        <v>562</v>
      </c>
      <c r="H777" s="6" t="s">
        <v>20</v>
      </c>
      <c r="I777" s="5" t="s">
        <v>21</v>
      </c>
      <c r="J777" s="4" t="s">
        <v>22</v>
      </c>
      <c r="K777" s="2" t="s">
        <v>23</v>
      </c>
      <c r="L777" s="6" t="s">
        <v>24</v>
      </c>
      <c r="M777" s="5" t="s">
        <v>25</v>
      </c>
      <c r="N777" s="3" t="s">
        <v>26</v>
      </c>
      <c r="O777" s="5">
        <v>2</v>
      </c>
      <c r="P777" s="3" t="s">
        <v>23</v>
      </c>
      <c r="Q777" s="5"/>
    </row>
    <row r="778" spans="1:17" ht="155">
      <c r="A778" s="5">
        <v>773</v>
      </c>
      <c r="B778" s="6" t="s">
        <v>16</v>
      </c>
      <c r="C778" s="5" t="str">
        <f>HYPERLINK("http://data.overheid.nl/data/dataset/krw-toetsingskader-potentieel-relevant-areaal-vis","KRW toetsingskader potentieel relevant areaal vis")</f>
        <v>KRW toetsingskader potentieel relevant areaal vis</v>
      </c>
      <c r="D778" s="6" t="s">
        <v>17</v>
      </c>
      <c r="E778" s="5" t="s">
        <v>18</v>
      </c>
      <c r="F778" s="6" t="s">
        <v>813</v>
      </c>
      <c r="G778" s="5" t="s">
        <v>563</v>
      </c>
      <c r="H778" s="6" t="s">
        <v>20</v>
      </c>
      <c r="I778" s="5" t="s">
        <v>21</v>
      </c>
      <c r="J778" s="4" t="s">
        <v>22</v>
      </c>
      <c r="K778" s="2" t="s">
        <v>23</v>
      </c>
      <c r="L778" s="6" t="s">
        <v>24</v>
      </c>
      <c r="M778" s="5" t="s">
        <v>25</v>
      </c>
      <c r="N778" s="3" t="s">
        <v>26</v>
      </c>
      <c r="O778" s="5">
        <v>2</v>
      </c>
      <c r="P778" s="3" t="s">
        <v>23</v>
      </c>
      <c r="Q778" s="5"/>
    </row>
    <row r="779" spans="1:17" ht="155">
      <c r="A779" s="5">
        <v>774</v>
      </c>
      <c r="B779" s="6" t="s">
        <v>16</v>
      </c>
      <c r="C779" s="5" t="str">
        <f>HYPERLINK("http://data.overheid.nl/data/dataset/krw-toetsingskader-potentieel-relevant-areaal-oeverplanten","KRW toetsingskader potentieel relevant areaal oeverplanten")</f>
        <v>KRW toetsingskader potentieel relevant areaal oeverplanten</v>
      </c>
      <c r="D779" s="6" t="s">
        <v>17</v>
      </c>
      <c r="E779" s="5" t="s">
        <v>18</v>
      </c>
      <c r="F779" s="6" t="s">
        <v>813</v>
      </c>
      <c r="G779" s="5" t="s">
        <v>564</v>
      </c>
      <c r="H779" s="6" t="s">
        <v>20</v>
      </c>
      <c r="I779" s="5" t="s">
        <v>21</v>
      </c>
      <c r="J779" s="4" t="s">
        <v>22</v>
      </c>
      <c r="K779" s="2" t="s">
        <v>23</v>
      </c>
      <c r="L779" s="6" t="s">
        <v>24</v>
      </c>
      <c r="M779" s="5" t="s">
        <v>25</v>
      </c>
      <c r="N779" s="3" t="s">
        <v>26</v>
      </c>
      <c r="O779" s="5">
        <v>2</v>
      </c>
      <c r="P779" s="3" t="s">
        <v>23</v>
      </c>
      <c r="Q779" s="5"/>
    </row>
    <row r="780" spans="1:17" ht="155">
      <c r="A780" s="5">
        <v>775</v>
      </c>
      <c r="B780" s="6" t="s">
        <v>16</v>
      </c>
      <c r="C780" s="5" t="str">
        <f>HYPERLINK("http://data.overheid.nl/data/dataset/krw-toetsingskader-potentieel-relevant-areaal-macrofauna","KRW toetsingskader potentieel relevant areaal macrofauna")</f>
        <v>KRW toetsingskader potentieel relevant areaal macrofauna</v>
      </c>
      <c r="D780" s="6" t="s">
        <v>17</v>
      </c>
      <c r="E780" s="5" t="s">
        <v>18</v>
      </c>
      <c r="F780" s="6" t="s">
        <v>813</v>
      </c>
      <c r="G780" s="5" t="s">
        <v>565</v>
      </c>
      <c r="H780" s="6" t="s">
        <v>20</v>
      </c>
      <c r="I780" s="5" t="s">
        <v>21</v>
      </c>
      <c r="J780" s="4" t="s">
        <v>22</v>
      </c>
      <c r="K780" s="2" t="s">
        <v>23</v>
      </c>
      <c r="L780" s="6" t="s">
        <v>24</v>
      </c>
      <c r="M780" s="5" t="s">
        <v>25</v>
      </c>
      <c r="N780" s="3" t="s">
        <v>26</v>
      </c>
      <c r="O780" s="5">
        <v>2</v>
      </c>
      <c r="P780" s="3" t="s">
        <v>23</v>
      </c>
      <c r="Q780" s="5"/>
    </row>
    <row r="781" spans="1:17" ht="46.5">
      <c r="A781" s="5">
        <v>776</v>
      </c>
      <c r="B781" s="6" t="s">
        <v>16</v>
      </c>
      <c r="C781" s="5" t="str">
        <f>HYPERLINK("http://data.overheid.nl/data/dataset/locaties-helicopterfotos-20130402","Locaties helicopterfotos 20130402")</f>
        <v>Locaties helicopterfotos 20130402</v>
      </c>
      <c r="D781" s="6" t="s">
        <v>17</v>
      </c>
      <c r="E781" s="5" t="s">
        <v>18</v>
      </c>
      <c r="F781" s="6" t="s">
        <v>813</v>
      </c>
      <c r="G781" s="5" t="s">
        <v>566</v>
      </c>
      <c r="H781" s="6" t="s">
        <v>20</v>
      </c>
      <c r="I781" s="5" t="s">
        <v>21</v>
      </c>
      <c r="J781" s="4" t="s">
        <v>22</v>
      </c>
      <c r="K781" s="2" t="s">
        <v>23</v>
      </c>
      <c r="L781" s="6" t="s">
        <v>24</v>
      </c>
      <c r="M781" s="5" t="s">
        <v>25</v>
      </c>
      <c r="N781" s="3" t="s">
        <v>26</v>
      </c>
      <c r="O781" s="5">
        <v>2</v>
      </c>
      <c r="P781" s="3" t="s">
        <v>23</v>
      </c>
      <c r="Q781" s="5"/>
    </row>
    <row r="782" spans="1:17" ht="62">
      <c r="A782" s="5">
        <v>777</v>
      </c>
      <c r="B782" s="6" t="s">
        <v>16</v>
      </c>
      <c r="C782" s="5" t="str">
        <f>HYPERLINK("http://data.overheid.nl/data/dataset/locaties-helicopterfotos-20120402","Locaties helicopterfotos 20120402")</f>
        <v>Locaties helicopterfotos 20120402</v>
      </c>
      <c r="D782" s="6" t="s">
        <v>17</v>
      </c>
      <c r="E782" s="5" t="s">
        <v>18</v>
      </c>
      <c r="F782" s="6" t="s">
        <v>813</v>
      </c>
      <c r="G782" s="5" t="s">
        <v>567</v>
      </c>
      <c r="H782" s="6" t="s">
        <v>20</v>
      </c>
      <c r="I782" s="5" t="s">
        <v>21</v>
      </c>
      <c r="J782" s="4" t="s">
        <v>22</v>
      </c>
      <c r="K782" s="2" t="s">
        <v>23</v>
      </c>
      <c r="L782" s="6" t="s">
        <v>24</v>
      </c>
      <c r="M782" s="5" t="s">
        <v>25</v>
      </c>
      <c r="N782" s="3" t="s">
        <v>26</v>
      </c>
      <c r="O782" s="5">
        <v>2</v>
      </c>
      <c r="P782" s="3" t="s">
        <v>23</v>
      </c>
      <c r="Q782" s="5"/>
    </row>
    <row r="783" spans="1:17" ht="31">
      <c r="A783" s="5">
        <v>778</v>
      </c>
      <c r="B783" s="6" t="s">
        <v>16</v>
      </c>
      <c r="C783" s="5" t="str">
        <f>HYPERLINK("http://data.overheid.nl/data/dataset/orthofotomozaiek-rijntakken-1997-truecolor","orthofotomozaiek Rijntakken 1997 truecolor")</f>
        <v>orthofotomozaiek Rijntakken 1997 truecolor</v>
      </c>
      <c r="D783" s="6" t="s">
        <v>17</v>
      </c>
      <c r="E783" s="5" t="s">
        <v>18</v>
      </c>
      <c r="F783" s="6" t="s">
        <v>813</v>
      </c>
      <c r="G783" s="5" t="s">
        <v>568</v>
      </c>
      <c r="H783" s="6" t="s">
        <v>20</v>
      </c>
      <c r="I783" s="5" t="s">
        <v>21</v>
      </c>
      <c r="J783" s="4" t="s">
        <v>22</v>
      </c>
      <c r="K783" s="2" t="s">
        <v>23</v>
      </c>
      <c r="L783" s="6" t="s">
        <v>24</v>
      </c>
      <c r="M783" s="5" t="s">
        <v>25</v>
      </c>
      <c r="N783" s="3" t="s">
        <v>26</v>
      </c>
      <c r="O783" s="5">
        <v>2</v>
      </c>
      <c r="P783" s="3" t="s">
        <v>23</v>
      </c>
      <c r="Q783" s="5"/>
    </row>
    <row r="784" spans="1:17" ht="31">
      <c r="A784" s="5">
        <v>779</v>
      </c>
      <c r="B784" s="6" t="s">
        <v>16</v>
      </c>
      <c r="C784" s="5" t="str">
        <f>HYPERLINK("http://data.overheid.nl/data/dataset/orthofotomozaiek-maas-1996-truecolor","orthofotomozaiek Maas 1996 truecolor")</f>
        <v>orthofotomozaiek Maas 1996 truecolor</v>
      </c>
      <c r="D784" s="6" t="s">
        <v>17</v>
      </c>
      <c r="E784" s="5" t="s">
        <v>18</v>
      </c>
      <c r="F784" s="6" t="s">
        <v>813</v>
      </c>
      <c r="G784" s="5" t="s">
        <v>569</v>
      </c>
      <c r="H784" s="6" t="s">
        <v>20</v>
      </c>
      <c r="I784" s="5" t="s">
        <v>21</v>
      </c>
      <c r="J784" s="4" t="s">
        <v>22</v>
      </c>
      <c r="K784" s="2" t="s">
        <v>23</v>
      </c>
      <c r="L784" s="6" t="s">
        <v>24</v>
      </c>
      <c r="M784" s="5" t="s">
        <v>25</v>
      </c>
      <c r="N784" s="3" t="s">
        <v>26</v>
      </c>
      <c r="O784" s="5">
        <v>2</v>
      </c>
      <c r="P784" s="3" t="s">
        <v>23</v>
      </c>
      <c r="Q784" s="5"/>
    </row>
    <row r="785" spans="1:17" ht="31">
      <c r="A785" s="5">
        <v>780</v>
      </c>
      <c r="B785" s="6" t="s">
        <v>16</v>
      </c>
      <c r="C785" s="5" t="str">
        <f>HYPERLINK("http://data.overheid.nl/data/dataset/maas-2011-orthofotomozaiek-truecolor","Maas_2011_orthofotomozaiek_Truecolor")</f>
        <v>Maas_2011_orthofotomozaiek_Truecolor</v>
      </c>
      <c r="D785" s="6" t="s">
        <v>17</v>
      </c>
      <c r="E785" s="5" t="s">
        <v>18</v>
      </c>
      <c r="F785" s="6" t="s">
        <v>813</v>
      </c>
      <c r="G785" s="5" t="s">
        <v>570</v>
      </c>
      <c r="H785" s="6" t="s">
        <v>20</v>
      </c>
      <c r="I785" s="5" t="s">
        <v>21</v>
      </c>
      <c r="J785" s="4" t="s">
        <v>22</v>
      </c>
      <c r="K785" s="2" t="s">
        <v>23</v>
      </c>
      <c r="L785" s="6" t="s">
        <v>24</v>
      </c>
      <c r="M785" s="5" t="s">
        <v>25</v>
      </c>
      <c r="N785" s="3" t="s">
        <v>26</v>
      </c>
      <c r="O785" s="5">
        <v>2</v>
      </c>
      <c r="P785" s="3" t="s">
        <v>23</v>
      </c>
      <c r="Q785" s="5"/>
    </row>
    <row r="786" spans="1:17" ht="31">
      <c r="A786" s="5">
        <v>781</v>
      </c>
      <c r="B786" s="6" t="s">
        <v>16</v>
      </c>
      <c r="C786" s="5" t="str">
        <f>HYPERLINK("http://data.overheid.nl/data/dataset/waterberichtgeving-verwachtingen-water-zeeland","Waterberichtgeving - Verwachtingen Water Zeeland")</f>
        <v>Waterberichtgeving - Verwachtingen Water Zeeland</v>
      </c>
      <c r="D786" s="6" t="s">
        <v>17</v>
      </c>
      <c r="E786" s="5" t="s">
        <v>18</v>
      </c>
      <c r="F786" s="6" t="s">
        <v>813</v>
      </c>
      <c r="G786" s="5" t="s">
        <v>571</v>
      </c>
      <c r="H786" s="6" t="s">
        <v>20</v>
      </c>
      <c r="I786" s="5" t="s">
        <v>21</v>
      </c>
      <c r="J786" s="4" t="s">
        <v>22</v>
      </c>
      <c r="K786" s="2" t="s">
        <v>23</v>
      </c>
      <c r="L786" s="6" t="s">
        <v>24</v>
      </c>
      <c r="M786" s="5" t="s">
        <v>25</v>
      </c>
      <c r="N786" s="3" t="s">
        <v>26</v>
      </c>
      <c r="O786" s="5">
        <v>1</v>
      </c>
      <c r="P786" s="3" t="s">
        <v>23</v>
      </c>
      <c r="Q786" s="5"/>
    </row>
    <row r="787" spans="1:17" ht="31">
      <c r="A787" s="5">
        <v>782</v>
      </c>
      <c r="B787" s="6" t="s">
        <v>16</v>
      </c>
      <c r="C787" s="5" t="str">
        <f>HYPERLINK("http://data.overheid.nl/data/dataset/waterberichtgeving-verwachtingen-water-rijn-maasmonding","Waterberichtgeving - Verwachtingen Water Rijn Maasmonding")</f>
        <v>Waterberichtgeving - Verwachtingen Water Rijn Maasmonding</v>
      </c>
      <c r="D787" s="6" t="s">
        <v>17</v>
      </c>
      <c r="E787" s="5" t="s">
        <v>18</v>
      </c>
      <c r="F787" s="6" t="s">
        <v>813</v>
      </c>
      <c r="G787" s="5" t="s">
        <v>240</v>
      </c>
      <c r="H787" s="6" t="s">
        <v>20</v>
      </c>
      <c r="I787" s="5" t="s">
        <v>21</v>
      </c>
      <c r="J787" s="4" t="s">
        <v>22</v>
      </c>
      <c r="K787" s="2" t="s">
        <v>23</v>
      </c>
      <c r="L787" s="6" t="s">
        <v>24</v>
      </c>
      <c r="M787" s="5" t="s">
        <v>25</v>
      </c>
      <c r="N787" s="3" t="s">
        <v>26</v>
      </c>
      <c r="O787" s="5">
        <v>1</v>
      </c>
      <c r="P787" s="3" t="s">
        <v>23</v>
      </c>
      <c r="Q787" s="5"/>
    </row>
    <row r="788" spans="1:17" ht="31">
      <c r="A788" s="5">
        <v>783</v>
      </c>
      <c r="B788" s="6" t="s">
        <v>16</v>
      </c>
      <c r="C788" s="5" t="str">
        <f>HYPERLINK("http://data.overheid.nl/data/dataset/baggervakken-rijkswaterstaat-west-nederland-zuid","baggervakken Rijkswaterstaat West-Nederland Zuid")</f>
        <v>baggervakken Rijkswaterstaat West-Nederland Zuid</v>
      </c>
      <c r="D788" s="6" t="s">
        <v>17</v>
      </c>
      <c r="E788" s="5" t="s">
        <v>18</v>
      </c>
      <c r="F788" s="6" t="s">
        <v>813</v>
      </c>
      <c r="G788" s="5" t="s">
        <v>572</v>
      </c>
      <c r="H788" s="6" t="s">
        <v>20</v>
      </c>
      <c r="I788" s="5" t="s">
        <v>21</v>
      </c>
      <c r="J788" s="4" t="s">
        <v>22</v>
      </c>
      <c r="K788" s="2" t="s">
        <v>23</v>
      </c>
      <c r="L788" s="6" t="s">
        <v>24</v>
      </c>
      <c r="M788" s="5" t="s">
        <v>25</v>
      </c>
      <c r="N788" s="3" t="s">
        <v>26</v>
      </c>
      <c r="O788" s="5">
        <v>2</v>
      </c>
      <c r="P788" s="3" t="s">
        <v>23</v>
      </c>
      <c r="Q788" s="5"/>
    </row>
    <row r="789" spans="1:17" ht="46.5">
      <c r="A789" s="5">
        <v>784</v>
      </c>
      <c r="B789" s="6" t="s">
        <v>16</v>
      </c>
      <c r="C789" s="5" t="str">
        <f>HYPERLINK("http://data.overheid.nl/data/dataset/zwemwater-zwemwaterprofielen","Zwemwater Zwemwaterprofielen")</f>
        <v>Zwemwater Zwemwaterprofielen</v>
      </c>
      <c r="D789" s="6" t="s">
        <v>17</v>
      </c>
      <c r="E789" s="5" t="s">
        <v>18</v>
      </c>
      <c r="F789" s="6" t="s">
        <v>813</v>
      </c>
      <c r="G789" s="5" t="s">
        <v>573</v>
      </c>
      <c r="H789" s="6" t="s">
        <v>20</v>
      </c>
      <c r="I789" s="5" t="s">
        <v>21</v>
      </c>
      <c r="J789" s="4" t="s">
        <v>22</v>
      </c>
      <c r="K789" s="2" t="s">
        <v>23</v>
      </c>
      <c r="L789" s="6" t="s">
        <v>24</v>
      </c>
      <c r="M789" s="5" t="s">
        <v>25</v>
      </c>
      <c r="N789" s="3" t="s">
        <v>26</v>
      </c>
      <c r="O789" s="5">
        <v>1</v>
      </c>
      <c r="P789" s="3" t="s">
        <v>23</v>
      </c>
      <c r="Q789" s="5"/>
    </row>
    <row r="790" spans="1:17" ht="77.5">
      <c r="A790" s="5">
        <v>785</v>
      </c>
      <c r="B790" s="6" t="s">
        <v>16</v>
      </c>
      <c r="C790" s="5" t="str">
        <f>HYPERLINK("http://data.overheid.nl/data/dataset/overzicht-vlieglijnen-kust-2011","Overzicht vlieglijnen kust 2011")</f>
        <v>Overzicht vlieglijnen kust 2011</v>
      </c>
      <c r="D790" s="6" t="s">
        <v>17</v>
      </c>
      <c r="E790" s="5" t="s">
        <v>18</v>
      </c>
      <c r="F790" s="6" t="s">
        <v>813</v>
      </c>
      <c r="G790" s="5" t="s">
        <v>574</v>
      </c>
      <c r="H790" s="6" t="s">
        <v>20</v>
      </c>
      <c r="I790" s="5" t="s">
        <v>21</v>
      </c>
      <c r="J790" s="4" t="s">
        <v>22</v>
      </c>
      <c r="K790" s="2" t="s">
        <v>23</v>
      </c>
      <c r="L790" s="6" t="s">
        <v>24</v>
      </c>
      <c r="M790" s="5" t="s">
        <v>25</v>
      </c>
      <c r="N790" s="3" t="s">
        <v>26</v>
      </c>
      <c r="O790" s="5">
        <v>4</v>
      </c>
      <c r="P790" s="3" t="s">
        <v>23</v>
      </c>
      <c r="Q790" s="5"/>
    </row>
    <row r="791" spans="1:17" ht="108.5">
      <c r="A791" s="5">
        <v>786</v>
      </c>
      <c r="B791" s="6" t="s">
        <v>16</v>
      </c>
      <c r="C791" s="5" t="str">
        <f>HYPERLINK("http://data.overheid.nl/data/dataset/hoogtegegevens-kust-2011","Hoogtegegevens Kust 2011")</f>
        <v>Hoogtegegevens Kust 2011</v>
      </c>
      <c r="D791" s="6" t="s">
        <v>17</v>
      </c>
      <c r="E791" s="5" t="s">
        <v>18</v>
      </c>
      <c r="F791" s="6" t="s">
        <v>813</v>
      </c>
      <c r="G791" s="5" t="s">
        <v>575</v>
      </c>
      <c r="H791" s="6" t="s">
        <v>20</v>
      </c>
      <c r="I791" s="5" t="s">
        <v>21</v>
      </c>
      <c r="J791" s="4" t="s">
        <v>22</v>
      </c>
      <c r="K791" s="2" t="s">
        <v>23</v>
      </c>
      <c r="L791" s="6" t="s">
        <v>24</v>
      </c>
      <c r="M791" s="5" t="s">
        <v>25</v>
      </c>
      <c r="N791" s="3" t="s">
        <v>26</v>
      </c>
      <c r="O791" s="5">
        <v>4</v>
      </c>
      <c r="P791" s="3" t="s">
        <v>23</v>
      </c>
      <c r="Q791" s="5"/>
    </row>
    <row r="792" spans="1:17" ht="46.5">
      <c r="A792" s="5">
        <v>787</v>
      </c>
      <c r="B792" s="6" t="s">
        <v>16</v>
      </c>
      <c r="C792" s="5" t="str">
        <f>HYPERLINK("http://data.overheid.nl/data/dataset/bodemhoogte-laatst-gemeten-diepte-rivieren-1-mtr-zuid-holland-11-2010","Bodemhoogte - Laatst gemeten diepte - rivieren - 1 mtr - Zuid-Holland 11-2010")</f>
        <v>Bodemhoogte - Laatst gemeten diepte - rivieren - 1 mtr - Zuid-Holland 11-2010</v>
      </c>
      <c r="D792" s="6" t="s">
        <v>17</v>
      </c>
      <c r="E792" s="5" t="s">
        <v>18</v>
      </c>
      <c r="F792" s="6" t="s">
        <v>813</v>
      </c>
      <c r="G792" s="5" t="s">
        <v>304</v>
      </c>
      <c r="H792" s="6" t="s">
        <v>20</v>
      </c>
      <c r="I792" s="5" t="s">
        <v>21</v>
      </c>
      <c r="J792" s="4" t="s">
        <v>22</v>
      </c>
      <c r="K792" s="2" t="s">
        <v>23</v>
      </c>
      <c r="L792" s="6" t="s">
        <v>24</v>
      </c>
      <c r="M792" s="5" t="s">
        <v>25</v>
      </c>
      <c r="N792" s="3" t="s">
        <v>26</v>
      </c>
      <c r="O792" s="5">
        <v>29</v>
      </c>
      <c r="P792" s="3" t="s">
        <v>23</v>
      </c>
      <c r="Q792" s="5"/>
    </row>
    <row r="793" spans="1:17" ht="46.5">
      <c r="A793" s="5">
        <v>788</v>
      </c>
      <c r="B793" s="6" t="s">
        <v>16</v>
      </c>
      <c r="C793" s="5" t="str">
        <f>HYPERLINK("http://data.overheid.nl/data/dataset/hoogtegegevens-kribben-waal-2003","Hoogtegegevens kribben Waal 2003")</f>
        <v>Hoogtegegevens kribben Waal 2003</v>
      </c>
      <c r="D793" s="6" t="s">
        <v>17</v>
      </c>
      <c r="E793" s="5" t="s">
        <v>18</v>
      </c>
      <c r="F793" s="6" t="s">
        <v>813</v>
      </c>
      <c r="G793" s="5" t="s">
        <v>576</v>
      </c>
      <c r="H793" s="6" t="s">
        <v>20</v>
      </c>
      <c r="I793" s="5" t="s">
        <v>21</v>
      </c>
      <c r="J793" s="4" t="s">
        <v>22</v>
      </c>
      <c r="K793" s="2" t="s">
        <v>23</v>
      </c>
      <c r="L793" s="6" t="s">
        <v>24</v>
      </c>
      <c r="M793" s="5" t="s">
        <v>25</v>
      </c>
      <c r="N793" s="3" t="s">
        <v>26</v>
      </c>
      <c r="O793" s="5">
        <v>2</v>
      </c>
      <c r="P793" s="3" t="s">
        <v>23</v>
      </c>
      <c r="Q793" s="5"/>
    </row>
    <row r="794" spans="1:17" ht="46.5">
      <c r="A794" s="5">
        <v>789</v>
      </c>
      <c r="B794" s="6" t="s">
        <v>16</v>
      </c>
      <c r="C794" s="5" t="str">
        <f>HYPERLINK("http://data.overheid.nl/data/dataset/hoogtegegevens-kribben-pannerdens-kanaal-2003","Hoogtegegevens kribben Pannerdens kanaal 2003")</f>
        <v>Hoogtegegevens kribben Pannerdens kanaal 2003</v>
      </c>
      <c r="D794" s="6" t="s">
        <v>17</v>
      </c>
      <c r="E794" s="5" t="s">
        <v>18</v>
      </c>
      <c r="F794" s="6" t="s">
        <v>813</v>
      </c>
      <c r="G794" s="5" t="s">
        <v>577</v>
      </c>
      <c r="H794" s="6" t="s">
        <v>20</v>
      </c>
      <c r="I794" s="5" t="s">
        <v>21</v>
      </c>
      <c r="J794" s="4" t="s">
        <v>22</v>
      </c>
      <c r="K794" s="2" t="s">
        <v>23</v>
      </c>
      <c r="L794" s="6" t="s">
        <v>24</v>
      </c>
      <c r="M794" s="5" t="s">
        <v>25</v>
      </c>
      <c r="N794" s="3" t="s">
        <v>26</v>
      </c>
      <c r="O794" s="5">
        <v>2</v>
      </c>
      <c r="P794" s="3" t="s">
        <v>23</v>
      </c>
      <c r="Q794" s="5"/>
    </row>
    <row r="795" spans="1:17" ht="46.5">
      <c r="A795" s="5">
        <v>790</v>
      </c>
      <c r="B795" s="6" t="s">
        <v>16</v>
      </c>
      <c r="C795" s="5" t="str">
        <f>HYPERLINK("http://data.overheid.nl/data/dataset/bodemhoogte-laatst-gemeten-diepte-1-mtr-zuid-holland-11-2013","Bodemhoogte - Laatst gemeten diepte 1 mtr - Zuid-Holland 11-2013")</f>
        <v>Bodemhoogte - Laatst gemeten diepte 1 mtr - Zuid-Holland 11-2013</v>
      </c>
      <c r="D795" s="6" t="s">
        <v>17</v>
      </c>
      <c r="E795" s="5" t="s">
        <v>18</v>
      </c>
      <c r="F795" s="6" t="s">
        <v>813</v>
      </c>
      <c r="G795" s="5" t="s">
        <v>304</v>
      </c>
      <c r="H795" s="6" t="s">
        <v>20</v>
      </c>
      <c r="I795" s="5" t="s">
        <v>21</v>
      </c>
      <c r="J795" s="4" t="s">
        <v>22</v>
      </c>
      <c r="K795" s="2" t="s">
        <v>23</v>
      </c>
      <c r="L795" s="6" t="s">
        <v>24</v>
      </c>
      <c r="M795" s="5" t="s">
        <v>25</v>
      </c>
      <c r="N795" s="3" t="s">
        <v>26</v>
      </c>
      <c r="O795" s="5">
        <v>29</v>
      </c>
      <c r="P795" s="3" t="s">
        <v>23</v>
      </c>
      <c r="Q795" s="5"/>
    </row>
    <row r="796" spans="1:17" ht="46.5">
      <c r="A796" s="5">
        <v>791</v>
      </c>
      <c r="B796" s="6" t="s">
        <v>16</v>
      </c>
      <c r="C796" s="5" t="str">
        <f>HYPERLINK("http://data.overheid.nl/data/dataset/bodemhoogte-laatst-gemeten-diepte-1-mtr-zuid-holland-11-2011","Bodemhoogte - Laatst gemeten diepte 1 mtr - Zuid-Holland 11-2011")</f>
        <v>Bodemhoogte - Laatst gemeten diepte 1 mtr - Zuid-Holland 11-2011</v>
      </c>
      <c r="D796" s="6" t="s">
        <v>17</v>
      </c>
      <c r="E796" s="5" t="s">
        <v>18</v>
      </c>
      <c r="F796" s="6" t="s">
        <v>813</v>
      </c>
      <c r="G796" s="5" t="s">
        <v>304</v>
      </c>
      <c r="H796" s="6" t="s">
        <v>20</v>
      </c>
      <c r="I796" s="5" t="s">
        <v>21</v>
      </c>
      <c r="J796" s="4" t="s">
        <v>22</v>
      </c>
      <c r="K796" s="2" t="s">
        <v>23</v>
      </c>
      <c r="L796" s="6" t="s">
        <v>24</v>
      </c>
      <c r="M796" s="5" t="s">
        <v>25</v>
      </c>
      <c r="N796" s="3" t="s">
        <v>26</v>
      </c>
      <c r="O796" s="5">
        <v>29</v>
      </c>
      <c r="P796" s="3" t="s">
        <v>23</v>
      </c>
      <c r="Q796" s="5"/>
    </row>
    <row r="797" spans="1:17" ht="46.5">
      <c r="A797" s="5">
        <v>792</v>
      </c>
      <c r="B797" s="6" t="s">
        <v>16</v>
      </c>
      <c r="C797" s="5" t="str">
        <f>HYPERLINK("http://data.overheid.nl/data/dataset/bodemhoogte-laatst-gemeten-diepte-rivieren-1-mtr-zuid-holland-11-2009","Bodemhoogte - Laatst gemeten diepte - rivieren - 1 mtr - Zuid-Holland 11-2009")</f>
        <v>Bodemhoogte - Laatst gemeten diepte - rivieren - 1 mtr - Zuid-Holland 11-2009</v>
      </c>
      <c r="D797" s="6" t="s">
        <v>17</v>
      </c>
      <c r="E797" s="5" t="s">
        <v>18</v>
      </c>
      <c r="F797" s="6" t="s">
        <v>813</v>
      </c>
      <c r="G797" s="5" t="s">
        <v>304</v>
      </c>
      <c r="H797" s="6" t="s">
        <v>20</v>
      </c>
      <c r="I797" s="5" t="s">
        <v>21</v>
      </c>
      <c r="J797" s="4" t="s">
        <v>22</v>
      </c>
      <c r="K797" s="2" t="s">
        <v>23</v>
      </c>
      <c r="L797" s="6" t="s">
        <v>24</v>
      </c>
      <c r="M797" s="5" t="s">
        <v>25</v>
      </c>
      <c r="N797" s="3" t="s">
        <v>26</v>
      </c>
      <c r="O797" s="5">
        <v>29</v>
      </c>
      <c r="P797" s="3" t="s">
        <v>23</v>
      </c>
      <c r="Q797" s="5"/>
    </row>
    <row r="798" spans="1:17" ht="46.5">
      <c r="A798" s="5">
        <v>793</v>
      </c>
      <c r="B798" s="6" t="s">
        <v>16</v>
      </c>
      <c r="C798" s="5" t="str">
        <f>HYPERLINK("http://data.overheid.nl/data/dataset/bodemhoogte-laatst-gemeten-diepte-rivieren-1-mtr-2009-2010","Bodemhoogte - Laatst gemeten diepte - rivieren - 1 mtr 2009 - 2010")</f>
        <v>Bodemhoogte - Laatst gemeten diepte - rivieren - 1 mtr 2009 - 2010</v>
      </c>
      <c r="D798" s="6" t="s">
        <v>17</v>
      </c>
      <c r="E798" s="5" t="s">
        <v>18</v>
      </c>
      <c r="F798" s="6" t="s">
        <v>813</v>
      </c>
      <c r="G798" s="5" t="s">
        <v>578</v>
      </c>
      <c r="H798" s="6" t="s">
        <v>20</v>
      </c>
      <c r="I798" s="5" t="s">
        <v>21</v>
      </c>
      <c r="J798" s="7" t="s">
        <v>38</v>
      </c>
      <c r="K798" s="2" t="s">
        <v>23</v>
      </c>
      <c r="L798" s="6" t="s">
        <v>24</v>
      </c>
      <c r="M798" s="5" t="s">
        <v>25</v>
      </c>
      <c r="N798" s="3" t="s">
        <v>26</v>
      </c>
      <c r="O798" s="5">
        <v>7</v>
      </c>
      <c r="P798" s="3" t="s">
        <v>23</v>
      </c>
      <c r="Q798" s="5"/>
    </row>
    <row r="799" spans="1:17" ht="77.5">
      <c r="A799" s="5">
        <v>794</v>
      </c>
      <c r="B799" s="6" t="s">
        <v>16</v>
      </c>
      <c r="C799" s="5" t="str">
        <f>HYPERLINK("http://data.overheid.nl/data/dataset/overzicht-vlieglijnen-kust-2010","Overzicht vlieglijnen kust 2010")</f>
        <v>Overzicht vlieglijnen kust 2010</v>
      </c>
      <c r="D799" s="6" t="s">
        <v>17</v>
      </c>
      <c r="E799" s="5" t="s">
        <v>18</v>
      </c>
      <c r="F799" s="6" t="s">
        <v>813</v>
      </c>
      <c r="G799" s="5" t="s">
        <v>579</v>
      </c>
      <c r="H799" s="6" t="s">
        <v>20</v>
      </c>
      <c r="I799" s="5" t="s">
        <v>21</v>
      </c>
      <c r="J799" s="4" t="s">
        <v>22</v>
      </c>
      <c r="K799" s="2" t="s">
        <v>23</v>
      </c>
      <c r="L799" s="6" t="s">
        <v>24</v>
      </c>
      <c r="M799" s="5" t="s">
        <v>25</v>
      </c>
      <c r="N799" s="3" t="s">
        <v>26</v>
      </c>
      <c r="O799" s="5">
        <v>2</v>
      </c>
      <c r="P799" s="3" t="s">
        <v>23</v>
      </c>
      <c r="Q799" s="5"/>
    </row>
    <row r="800" spans="1:17" ht="248">
      <c r="A800" s="5">
        <v>795</v>
      </c>
      <c r="B800" s="6" t="s">
        <v>16</v>
      </c>
      <c r="C800" s="5" t="str">
        <f>HYPERLINK("http://data.overheid.nl/data/dataset/hoogtebestand-kust-2010","Hoogtebestand kust 2010")</f>
        <v>Hoogtebestand kust 2010</v>
      </c>
      <c r="D800" s="6" t="s">
        <v>17</v>
      </c>
      <c r="E800" s="5" t="s">
        <v>18</v>
      </c>
      <c r="F800" s="6" t="s">
        <v>813</v>
      </c>
      <c r="G800" s="5" t="s">
        <v>168</v>
      </c>
      <c r="H800" s="6" t="s">
        <v>20</v>
      </c>
      <c r="I800" s="5" t="s">
        <v>21</v>
      </c>
      <c r="J800" s="4" t="s">
        <v>22</v>
      </c>
      <c r="K800" s="2" t="s">
        <v>23</v>
      </c>
      <c r="L800" s="6" t="s">
        <v>24</v>
      </c>
      <c r="M800" s="5" t="s">
        <v>25</v>
      </c>
      <c r="N800" s="3" t="s">
        <v>26</v>
      </c>
      <c r="O800" s="5">
        <v>2</v>
      </c>
      <c r="P800" s="3" t="s">
        <v>23</v>
      </c>
      <c r="Q800" s="5"/>
    </row>
    <row r="801" spans="1:17" ht="31">
      <c r="A801" s="5">
        <v>796</v>
      </c>
      <c r="B801" s="6" t="s">
        <v>16</v>
      </c>
      <c r="C801" s="5" t="str">
        <f>HYPERLINK("http://data.overheid.nl/data/dataset/vlakken-wegmeubilair-rws-dienst-utrecht","Vlakken wegmeubilair RWS dienst Utrecht")</f>
        <v>Vlakken wegmeubilair RWS dienst Utrecht</v>
      </c>
      <c r="D801" s="6" t="s">
        <v>17</v>
      </c>
      <c r="E801" s="5" t="s">
        <v>18</v>
      </c>
      <c r="F801" s="6" t="s">
        <v>813</v>
      </c>
      <c r="G801" s="5" t="s">
        <v>255</v>
      </c>
      <c r="H801" s="6" t="s">
        <v>20</v>
      </c>
      <c r="I801" s="5" t="s">
        <v>21</v>
      </c>
      <c r="J801" s="4" t="s">
        <v>22</v>
      </c>
      <c r="K801" s="2" t="s">
        <v>23</v>
      </c>
      <c r="L801" s="6" t="s">
        <v>24</v>
      </c>
      <c r="M801" s="5" t="s">
        <v>25</v>
      </c>
      <c r="N801" s="3" t="s">
        <v>26</v>
      </c>
      <c r="O801" s="5">
        <v>2</v>
      </c>
      <c r="P801" s="3" t="s">
        <v>23</v>
      </c>
      <c r="Q801" s="5"/>
    </row>
    <row r="802" spans="1:17" ht="31">
      <c r="A802" s="5">
        <v>797</v>
      </c>
      <c r="B802" s="6" t="s">
        <v>16</v>
      </c>
      <c r="C802" s="5" t="str">
        <f>HYPERLINK("http://data.overheid.nl/data/dataset/vlakken-wegmeubilair-rws-dienst-oost-nederland","Vlakken wegmeubilair RWS dienst Oost-Nederland")</f>
        <v>Vlakken wegmeubilair RWS dienst Oost-Nederland</v>
      </c>
      <c r="D802" s="6" t="s">
        <v>17</v>
      </c>
      <c r="E802" s="5" t="s">
        <v>18</v>
      </c>
      <c r="F802" s="6" t="s">
        <v>813</v>
      </c>
      <c r="G802" s="5" t="s">
        <v>255</v>
      </c>
      <c r="H802" s="6" t="s">
        <v>20</v>
      </c>
      <c r="I802" s="5" t="s">
        <v>21</v>
      </c>
      <c r="J802" s="4" t="s">
        <v>22</v>
      </c>
      <c r="K802" s="2" t="s">
        <v>23</v>
      </c>
      <c r="L802" s="6" t="s">
        <v>24</v>
      </c>
      <c r="M802" s="5" t="s">
        <v>25</v>
      </c>
      <c r="N802" s="3" t="s">
        <v>26</v>
      </c>
      <c r="O802" s="5">
        <v>2</v>
      </c>
      <c r="P802" s="3" t="s">
        <v>23</v>
      </c>
      <c r="Q802" s="5"/>
    </row>
    <row r="803" spans="1:17" ht="31">
      <c r="A803" s="5">
        <v>798</v>
      </c>
      <c r="B803" s="6" t="s">
        <v>16</v>
      </c>
      <c r="C803" s="5" t="str">
        <f>HYPERLINK("http://data.overheid.nl/data/dataset/vlakken-wegmeubilair-rws-dienst-ijsselmeergebied","Vlakken wegmeubilair RWS dienst IJsselmeergebied")</f>
        <v>Vlakken wegmeubilair RWS dienst IJsselmeergebied</v>
      </c>
      <c r="D803" s="6" t="s">
        <v>17</v>
      </c>
      <c r="E803" s="5" t="s">
        <v>18</v>
      </c>
      <c r="F803" s="6" t="s">
        <v>813</v>
      </c>
      <c r="G803" s="5" t="s">
        <v>255</v>
      </c>
      <c r="H803" s="6" t="s">
        <v>20</v>
      </c>
      <c r="I803" s="5" t="s">
        <v>21</v>
      </c>
      <c r="J803" s="4" t="s">
        <v>22</v>
      </c>
      <c r="K803" s="2" t="s">
        <v>23</v>
      </c>
      <c r="L803" s="6" t="s">
        <v>24</v>
      </c>
      <c r="M803" s="5" t="s">
        <v>25</v>
      </c>
      <c r="N803" s="3" t="s">
        <v>26</v>
      </c>
      <c r="O803" s="5">
        <v>2</v>
      </c>
      <c r="P803" s="3" t="s">
        <v>23</v>
      </c>
      <c r="Q803" s="5"/>
    </row>
    <row r="804" spans="1:17" ht="77.5">
      <c r="A804" s="5">
        <v>799</v>
      </c>
      <c r="B804" s="6" t="s">
        <v>16</v>
      </c>
      <c r="C804" s="5" t="str">
        <f>HYPERLINK("http://data.overheid.nl/data/dataset/vlakken-waterafvoer-rws-dienst-utrecht","Vlakken waterafvoer RWS dienst Utrecht")</f>
        <v>Vlakken waterafvoer RWS dienst Utrecht</v>
      </c>
      <c r="D804" s="6" t="s">
        <v>17</v>
      </c>
      <c r="E804" s="5" t="s">
        <v>18</v>
      </c>
      <c r="F804" s="6" t="s">
        <v>813</v>
      </c>
      <c r="G804" s="2" t="s">
        <v>256</v>
      </c>
      <c r="H804" s="6" t="s">
        <v>20</v>
      </c>
      <c r="I804" s="5" t="s">
        <v>21</v>
      </c>
      <c r="J804" s="4" t="s">
        <v>22</v>
      </c>
      <c r="K804" s="2" t="s">
        <v>23</v>
      </c>
      <c r="L804" s="6" t="s">
        <v>24</v>
      </c>
      <c r="M804" s="5" t="s">
        <v>25</v>
      </c>
      <c r="N804" s="3" t="s">
        <v>26</v>
      </c>
      <c r="O804" s="5">
        <v>2</v>
      </c>
      <c r="P804" s="3" t="s">
        <v>23</v>
      </c>
      <c r="Q804" s="5"/>
    </row>
    <row r="805" spans="1:17" ht="77.5">
      <c r="A805" s="5">
        <v>800</v>
      </c>
      <c r="B805" s="6" t="s">
        <v>16</v>
      </c>
      <c r="C805" s="5" t="str">
        <f>HYPERLINK("http://data.overheid.nl/data/dataset/vlakken-waterafvoer-rws-dienst-oost-nederland","Vlakken waterafvoer RWS dienst Oost-Nederland")</f>
        <v>Vlakken waterafvoer RWS dienst Oost-Nederland</v>
      </c>
      <c r="D805" s="6" t="s">
        <v>17</v>
      </c>
      <c r="E805" s="5" t="s">
        <v>18</v>
      </c>
      <c r="F805" s="6" t="s">
        <v>813</v>
      </c>
      <c r="G805" s="2" t="s">
        <v>256</v>
      </c>
      <c r="H805" s="6" t="s">
        <v>20</v>
      </c>
      <c r="I805" s="5" t="s">
        <v>21</v>
      </c>
      <c r="J805" s="4" t="s">
        <v>22</v>
      </c>
      <c r="K805" s="2" t="s">
        <v>23</v>
      </c>
      <c r="L805" s="6" t="s">
        <v>24</v>
      </c>
      <c r="M805" s="5" t="s">
        <v>25</v>
      </c>
      <c r="N805" s="3" t="s">
        <v>26</v>
      </c>
      <c r="O805" s="5">
        <v>2</v>
      </c>
      <c r="P805" s="3" t="s">
        <v>23</v>
      </c>
      <c r="Q805" s="5"/>
    </row>
    <row r="806" spans="1:17" ht="77.5">
      <c r="A806" s="5">
        <v>801</v>
      </c>
      <c r="B806" s="6" t="s">
        <v>16</v>
      </c>
      <c r="C806" s="5" t="str">
        <f>HYPERLINK("http://data.overheid.nl/data/dataset/vlakken-waterafvoer-rws-dienst-ijsselmeergebied","Vlakken waterafvoer RWS dienst IJsselmeergebied")</f>
        <v>Vlakken waterafvoer RWS dienst IJsselmeergebied</v>
      </c>
      <c r="D806" s="6" t="s">
        <v>17</v>
      </c>
      <c r="E806" s="5" t="s">
        <v>18</v>
      </c>
      <c r="F806" s="6" t="s">
        <v>813</v>
      </c>
      <c r="G806" s="2" t="s">
        <v>256</v>
      </c>
      <c r="H806" s="6" t="s">
        <v>20</v>
      </c>
      <c r="I806" s="5" t="s">
        <v>21</v>
      </c>
      <c r="J806" s="4" t="s">
        <v>22</v>
      </c>
      <c r="K806" s="2" t="s">
        <v>23</v>
      </c>
      <c r="L806" s="6" t="s">
        <v>24</v>
      </c>
      <c r="M806" s="5" t="s">
        <v>25</v>
      </c>
      <c r="N806" s="3" t="s">
        <v>26</v>
      </c>
      <c r="O806" s="5">
        <v>2</v>
      </c>
      <c r="P806" s="3" t="s">
        <v>23</v>
      </c>
      <c r="Q806" s="5"/>
    </row>
    <row r="807" spans="1:17" ht="31">
      <c r="A807" s="5">
        <v>802</v>
      </c>
      <c r="B807" s="6" t="s">
        <v>16</v>
      </c>
      <c r="C807" s="5" t="str">
        <f>HYPERLINK("http://data.overheid.nl/data/dataset/vlakken-terrein-rws-dienst-utrecht","Vlakken terrein RWS dienst Utrecht")</f>
        <v>Vlakken terrein RWS dienst Utrecht</v>
      </c>
      <c r="D807" s="6" t="s">
        <v>17</v>
      </c>
      <c r="E807" s="5" t="s">
        <v>18</v>
      </c>
      <c r="F807" s="6" t="s">
        <v>813</v>
      </c>
      <c r="G807" s="5" t="s">
        <v>257</v>
      </c>
      <c r="H807" s="6" t="s">
        <v>20</v>
      </c>
      <c r="I807" s="5" t="s">
        <v>21</v>
      </c>
      <c r="J807" s="4" t="s">
        <v>22</v>
      </c>
      <c r="K807" s="2" t="s">
        <v>23</v>
      </c>
      <c r="L807" s="6" t="s">
        <v>24</v>
      </c>
      <c r="M807" s="5" t="s">
        <v>25</v>
      </c>
      <c r="N807" s="3" t="s">
        <v>26</v>
      </c>
      <c r="O807" s="5">
        <v>2</v>
      </c>
      <c r="P807" s="3" t="s">
        <v>23</v>
      </c>
      <c r="Q807" s="5"/>
    </row>
    <row r="808" spans="1:17" ht="31">
      <c r="A808" s="5">
        <v>803</v>
      </c>
      <c r="B808" s="6" t="s">
        <v>16</v>
      </c>
      <c r="C808" s="5" t="str">
        <f>HYPERLINK("http://data.overheid.nl/data/dataset/vlakken-terrein-rws-dienst-oost-nederland","Vlakken terrein RWS dienst Oost-Nederland")</f>
        <v>Vlakken terrein RWS dienst Oost-Nederland</v>
      </c>
      <c r="D808" s="6" t="s">
        <v>17</v>
      </c>
      <c r="E808" s="5" t="s">
        <v>18</v>
      </c>
      <c r="F808" s="6" t="s">
        <v>813</v>
      </c>
      <c r="G808" s="5" t="s">
        <v>257</v>
      </c>
      <c r="H808" s="6" t="s">
        <v>20</v>
      </c>
      <c r="I808" s="5" t="s">
        <v>21</v>
      </c>
      <c r="J808" s="4" t="s">
        <v>22</v>
      </c>
      <c r="K808" s="2" t="s">
        <v>23</v>
      </c>
      <c r="L808" s="6" t="s">
        <v>24</v>
      </c>
      <c r="M808" s="5" t="s">
        <v>25</v>
      </c>
      <c r="N808" s="3" t="s">
        <v>26</v>
      </c>
      <c r="O808" s="5">
        <v>2</v>
      </c>
      <c r="P808" s="3" t="s">
        <v>23</v>
      </c>
      <c r="Q808" s="5"/>
    </row>
    <row r="809" spans="1:17" ht="31">
      <c r="A809" s="5">
        <v>804</v>
      </c>
      <c r="B809" s="6" t="s">
        <v>16</v>
      </c>
      <c r="C809" s="5" t="str">
        <f>HYPERLINK("http://data.overheid.nl/data/dataset/vlakken-terrein-rws-dienst-ijsselmeergebied","Vlakken terrein RWS dienst IJsselmeergebied")</f>
        <v>Vlakken terrein RWS dienst IJsselmeergebied</v>
      </c>
      <c r="D809" s="6" t="s">
        <v>17</v>
      </c>
      <c r="E809" s="5" t="s">
        <v>18</v>
      </c>
      <c r="F809" s="6" t="s">
        <v>813</v>
      </c>
      <c r="G809" s="5" t="s">
        <v>257</v>
      </c>
      <c r="H809" s="6" t="s">
        <v>20</v>
      </c>
      <c r="I809" s="5" t="s">
        <v>21</v>
      </c>
      <c r="J809" s="4" t="s">
        <v>22</v>
      </c>
      <c r="K809" s="2" t="s">
        <v>23</v>
      </c>
      <c r="L809" s="6" t="s">
        <v>24</v>
      </c>
      <c r="M809" s="5" t="s">
        <v>25</v>
      </c>
      <c r="N809" s="3" t="s">
        <v>26</v>
      </c>
      <c r="O809" s="5">
        <v>2</v>
      </c>
      <c r="P809" s="3" t="s">
        <v>23</v>
      </c>
      <c r="Q809" s="5"/>
    </row>
    <row r="810" spans="1:17" ht="31">
      <c r="A810" s="5">
        <v>805</v>
      </c>
      <c r="B810" s="6" t="s">
        <v>16</v>
      </c>
      <c r="C810" s="5" t="str">
        <f>HYPERLINK("http://data.overheid.nl/data/dataset/vlakken-projecten-rws-dienst-utrecht","Vlakken projecten RWS dienst Utrecht")</f>
        <v>Vlakken projecten RWS dienst Utrecht</v>
      </c>
      <c r="D810" s="6" t="s">
        <v>17</v>
      </c>
      <c r="E810" s="5" t="s">
        <v>18</v>
      </c>
      <c r="F810" s="6" t="s">
        <v>813</v>
      </c>
      <c r="G810" s="5" t="s">
        <v>279</v>
      </c>
      <c r="H810" s="6" t="s">
        <v>20</v>
      </c>
      <c r="I810" s="5" t="s">
        <v>21</v>
      </c>
      <c r="J810" s="4" t="s">
        <v>22</v>
      </c>
      <c r="K810" s="2" t="s">
        <v>23</v>
      </c>
      <c r="L810" s="6" t="s">
        <v>24</v>
      </c>
      <c r="M810" s="5" t="s">
        <v>25</v>
      </c>
      <c r="N810" s="3" t="s">
        <v>26</v>
      </c>
      <c r="O810" s="5">
        <v>2</v>
      </c>
      <c r="P810" s="3" t="s">
        <v>23</v>
      </c>
      <c r="Q810" s="5"/>
    </row>
    <row r="811" spans="1:17" ht="31">
      <c r="A811" s="5">
        <v>806</v>
      </c>
      <c r="B811" s="6" t="s">
        <v>16</v>
      </c>
      <c r="C811" s="5" t="str">
        <f>HYPERLINK("http://data.overheid.nl/data/dataset/vlakken-projecten-rws-dienst-oost-nederland","Vlakken projecten RWS dienst Oost-Nederland")</f>
        <v>Vlakken projecten RWS dienst Oost-Nederland</v>
      </c>
      <c r="D811" s="6" t="s">
        <v>17</v>
      </c>
      <c r="E811" s="5" t="s">
        <v>18</v>
      </c>
      <c r="F811" s="6" t="s">
        <v>813</v>
      </c>
      <c r="G811" s="5" t="s">
        <v>279</v>
      </c>
      <c r="H811" s="6" t="s">
        <v>20</v>
      </c>
      <c r="I811" s="5" t="s">
        <v>21</v>
      </c>
      <c r="J811" s="4" t="s">
        <v>22</v>
      </c>
      <c r="K811" s="2" t="s">
        <v>23</v>
      </c>
      <c r="L811" s="6" t="s">
        <v>24</v>
      </c>
      <c r="M811" s="5" t="s">
        <v>25</v>
      </c>
      <c r="N811" s="3" t="s">
        <v>26</v>
      </c>
      <c r="O811" s="5">
        <v>2</v>
      </c>
      <c r="P811" s="3" t="s">
        <v>23</v>
      </c>
      <c r="Q811" s="5"/>
    </row>
    <row r="812" spans="1:17" ht="31">
      <c r="A812" s="5">
        <v>807</v>
      </c>
      <c r="B812" s="6" t="s">
        <v>16</v>
      </c>
      <c r="C812" s="5" t="str">
        <f>HYPERLINK("http://data.overheid.nl/data/dataset/vlakken-projecten-rws-dienst-noord-nederland","Vlakken projecten RWS dienst Noord-Nederland")</f>
        <v>Vlakken projecten RWS dienst Noord-Nederland</v>
      </c>
      <c r="D812" s="6" t="s">
        <v>17</v>
      </c>
      <c r="E812" s="5" t="s">
        <v>18</v>
      </c>
      <c r="F812" s="6" t="s">
        <v>813</v>
      </c>
      <c r="G812" s="5" t="s">
        <v>279</v>
      </c>
      <c r="H812" s="6" t="s">
        <v>20</v>
      </c>
      <c r="I812" s="5" t="s">
        <v>21</v>
      </c>
      <c r="J812" s="4" t="s">
        <v>22</v>
      </c>
      <c r="K812" s="2" t="s">
        <v>23</v>
      </c>
      <c r="L812" s="6" t="s">
        <v>24</v>
      </c>
      <c r="M812" s="5" t="s">
        <v>25</v>
      </c>
      <c r="N812" s="3" t="s">
        <v>26</v>
      </c>
      <c r="O812" s="5">
        <v>2</v>
      </c>
      <c r="P812" s="3" t="s">
        <v>23</v>
      </c>
      <c r="Q812" s="5"/>
    </row>
    <row r="813" spans="1:17" ht="31">
      <c r="A813" s="5">
        <v>808</v>
      </c>
      <c r="B813" s="6" t="s">
        <v>16</v>
      </c>
      <c r="C813" s="5" t="str">
        <f>HYPERLINK("http://data.overheid.nl/data/dataset/vlakken-projecten-rws-dienst-ijsselmeergebied","Vlakken projecten RWS dienst IJsselmeergebied")</f>
        <v>Vlakken projecten RWS dienst IJsselmeergebied</v>
      </c>
      <c r="D813" s="6" t="s">
        <v>17</v>
      </c>
      <c r="E813" s="5" t="s">
        <v>18</v>
      </c>
      <c r="F813" s="6" t="s">
        <v>813</v>
      </c>
      <c r="G813" s="5" t="s">
        <v>279</v>
      </c>
      <c r="H813" s="6" t="s">
        <v>20</v>
      </c>
      <c r="I813" s="5" t="s">
        <v>21</v>
      </c>
      <c r="J813" s="4" t="s">
        <v>22</v>
      </c>
      <c r="K813" s="2" t="s">
        <v>23</v>
      </c>
      <c r="L813" s="6" t="s">
        <v>24</v>
      </c>
      <c r="M813" s="5" t="s">
        <v>25</v>
      </c>
      <c r="N813" s="3" t="s">
        <v>26</v>
      </c>
      <c r="O813" s="5">
        <v>2</v>
      </c>
      <c r="P813" s="3" t="s">
        <v>23</v>
      </c>
      <c r="Q813" s="5"/>
    </row>
    <row r="814" spans="1:17" ht="31">
      <c r="A814" s="5">
        <v>809</v>
      </c>
      <c r="B814" s="6" t="s">
        <v>16</v>
      </c>
      <c r="C814" s="5" t="str">
        <f>HYPERLINK("http://data.overheid.nl/data/dataset/vlakken-kunstwerk-rws-dienst-utrecht","Vlakken kunstwerk RWS dienst Utrecht")</f>
        <v>Vlakken kunstwerk RWS dienst Utrecht</v>
      </c>
      <c r="D814" s="6" t="s">
        <v>17</v>
      </c>
      <c r="E814" s="5" t="s">
        <v>18</v>
      </c>
      <c r="F814" s="6" t="s">
        <v>813</v>
      </c>
      <c r="G814" s="5" t="s">
        <v>280</v>
      </c>
      <c r="H814" s="6" t="s">
        <v>20</v>
      </c>
      <c r="I814" s="5" t="s">
        <v>21</v>
      </c>
      <c r="J814" s="4" t="s">
        <v>22</v>
      </c>
      <c r="K814" s="2" t="s">
        <v>23</v>
      </c>
      <c r="L814" s="6" t="s">
        <v>24</v>
      </c>
      <c r="M814" s="5" t="s">
        <v>25</v>
      </c>
      <c r="N814" s="3" t="s">
        <v>26</v>
      </c>
      <c r="O814" s="5">
        <v>2</v>
      </c>
      <c r="P814" s="3" t="s">
        <v>23</v>
      </c>
      <c r="Q814" s="5"/>
    </row>
    <row r="815" spans="1:17" ht="31">
      <c r="A815" s="5">
        <v>810</v>
      </c>
      <c r="B815" s="6" t="s">
        <v>16</v>
      </c>
      <c r="C815" s="5" t="str">
        <f>HYPERLINK("http://data.overheid.nl/data/dataset/vlakken-kunstwerk-rws-dienst-oost-nederland","Vlakken kunstwerk RWS dienst Oost-Nederland")</f>
        <v>Vlakken kunstwerk RWS dienst Oost-Nederland</v>
      </c>
      <c r="D815" s="6" t="s">
        <v>17</v>
      </c>
      <c r="E815" s="5" t="s">
        <v>18</v>
      </c>
      <c r="F815" s="6" t="s">
        <v>813</v>
      </c>
      <c r="G815" s="5" t="s">
        <v>280</v>
      </c>
      <c r="H815" s="6" t="s">
        <v>20</v>
      </c>
      <c r="I815" s="5" t="s">
        <v>21</v>
      </c>
      <c r="J815" s="4" t="s">
        <v>22</v>
      </c>
      <c r="K815" s="2" t="s">
        <v>23</v>
      </c>
      <c r="L815" s="6" t="s">
        <v>24</v>
      </c>
      <c r="M815" s="5" t="s">
        <v>25</v>
      </c>
      <c r="N815" s="3" t="s">
        <v>26</v>
      </c>
      <c r="O815" s="5">
        <v>2</v>
      </c>
      <c r="P815" s="3" t="s">
        <v>23</v>
      </c>
      <c r="Q815" s="5"/>
    </row>
    <row r="816" spans="1:17" ht="31">
      <c r="A816" s="5">
        <v>811</v>
      </c>
      <c r="B816" s="6" t="s">
        <v>16</v>
      </c>
      <c r="C816" s="5" t="str">
        <f>HYPERLINK("http://data.overheid.nl/data/dataset/vlakken-kunstwerk-rws-dienst-noord-nederland","Vlakken kunstwerk RWS dienst Noord-Nederland")</f>
        <v>Vlakken kunstwerk RWS dienst Noord-Nederland</v>
      </c>
      <c r="D816" s="6" t="s">
        <v>17</v>
      </c>
      <c r="E816" s="5" t="s">
        <v>18</v>
      </c>
      <c r="F816" s="6" t="s">
        <v>813</v>
      </c>
      <c r="G816" s="5" t="s">
        <v>280</v>
      </c>
      <c r="H816" s="6" t="s">
        <v>20</v>
      </c>
      <c r="I816" s="5" t="s">
        <v>21</v>
      </c>
      <c r="J816" s="4" t="s">
        <v>22</v>
      </c>
      <c r="K816" s="2" t="s">
        <v>23</v>
      </c>
      <c r="L816" s="6" t="s">
        <v>24</v>
      </c>
      <c r="M816" s="5" t="s">
        <v>25</v>
      </c>
      <c r="N816" s="3" t="s">
        <v>26</v>
      </c>
      <c r="O816" s="5">
        <v>2</v>
      </c>
      <c r="P816" s="3" t="s">
        <v>23</v>
      </c>
      <c r="Q816" s="5"/>
    </row>
    <row r="817" spans="1:17" ht="31">
      <c r="A817" s="5">
        <v>812</v>
      </c>
      <c r="B817" s="6" t="s">
        <v>16</v>
      </c>
      <c r="C817" s="5" t="str">
        <f>HYPERLINK("http://data.overheid.nl/data/dataset/vlakken-kunstwerk-rws-dienst-ijsselmeergebied","Vlakken kunstwerk RWS dienst IJsselmeergebied")</f>
        <v>Vlakken kunstwerk RWS dienst IJsselmeergebied</v>
      </c>
      <c r="D817" s="6" t="s">
        <v>17</v>
      </c>
      <c r="E817" s="5" t="s">
        <v>18</v>
      </c>
      <c r="F817" s="6" t="s">
        <v>813</v>
      </c>
      <c r="G817" s="5" t="s">
        <v>280</v>
      </c>
      <c r="H817" s="6" t="s">
        <v>20</v>
      </c>
      <c r="I817" s="5" t="s">
        <v>21</v>
      </c>
      <c r="J817" s="4" t="s">
        <v>22</v>
      </c>
      <c r="K817" s="2" t="s">
        <v>23</v>
      </c>
      <c r="L817" s="6" t="s">
        <v>24</v>
      </c>
      <c r="M817" s="5" t="s">
        <v>25</v>
      </c>
      <c r="N817" s="3" t="s">
        <v>26</v>
      </c>
      <c r="O817" s="5">
        <v>2</v>
      </c>
      <c r="P817" s="3" t="s">
        <v>23</v>
      </c>
      <c r="Q817" s="5"/>
    </row>
    <row r="818" spans="1:17" ht="31">
      <c r="A818" s="5">
        <v>813</v>
      </c>
      <c r="B818" s="6" t="s">
        <v>16</v>
      </c>
      <c r="C818" s="5" t="str">
        <f>HYPERLINK("http://data.overheid.nl/data/dataset/vlakken-gebouw-installaties-rws-dienst-utrecht","Vlakken gebouw installaties RWS dienst Utrecht")</f>
        <v>Vlakken gebouw installaties RWS dienst Utrecht</v>
      </c>
      <c r="D818" s="6" t="s">
        <v>17</v>
      </c>
      <c r="E818" s="5" t="s">
        <v>18</v>
      </c>
      <c r="F818" s="6" t="s">
        <v>813</v>
      </c>
      <c r="G818" s="5" t="s">
        <v>258</v>
      </c>
      <c r="H818" s="6" t="s">
        <v>20</v>
      </c>
      <c r="I818" s="5" t="s">
        <v>21</v>
      </c>
      <c r="J818" s="4" t="s">
        <v>22</v>
      </c>
      <c r="K818" s="2" t="s">
        <v>23</v>
      </c>
      <c r="L818" s="6" t="s">
        <v>24</v>
      </c>
      <c r="M818" s="5" t="s">
        <v>25</v>
      </c>
      <c r="N818" s="3" t="s">
        <v>26</v>
      </c>
      <c r="O818" s="5">
        <v>2</v>
      </c>
      <c r="P818" s="3" t="s">
        <v>23</v>
      </c>
      <c r="Q818" s="5"/>
    </row>
    <row r="819" spans="1:17" ht="31">
      <c r="A819" s="5">
        <v>814</v>
      </c>
      <c r="B819" s="6" t="s">
        <v>16</v>
      </c>
      <c r="C819" s="5" t="str">
        <f>HYPERLINK("http://data.overheid.nl/data/dataset/vlakken-gebouw-installaties-rws-dienst-oost-nederland","Vlakken gebouw installaties RWS dienst Oost-Nederland")</f>
        <v>Vlakken gebouw installaties RWS dienst Oost-Nederland</v>
      </c>
      <c r="D819" s="6" t="s">
        <v>17</v>
      </c>
      <c r="E819" s="5" t="s">
        <v>18</v>
      </c>
      <c r="F819" s="6" t="s">
        <v>813</v>
      </c>
      <c r="G819" s="5" t="s">
        <v>258</v>
      </c>
      <c r="H819" s="6" t="s">
        <v>20</v>
      </c>
      <c r="I819" s="5" t="s">
        <v>21</v>
      </c>
      <c r="J819" s="4" t="s">
        <v>22</v>
      </c>
      <c r="K819" s="2" t="s">
        <v>23</v>
      </c>
      <c r="L819" s="6" t="s">
        <v>24</v>
      </c>
      <c r="M819" s="5" t="s">
        <v>25</v>
      </c>
      <c r="N819" s="3" t="s">
        <v>26</v>
      </c>
      <c r="O819" s="5">
        <v>2</v>
      </c>
      <c r="P819" s="3" t="s">
        <v>23</v>
      </c>
      <c r="Q819" s="5"/>
    </row>
    <row r="820" spans="1:17" ht="31">
      <c r="A820" s="5">
        <v>815</v>
      </c>
      <c r="B820" s="6" t="s">
        <v>16</v>
      </c>
      <c r="C820" s="5" t="str">
        <f>HYPERLINK("http://data.overheid.nl/data/dataset/vlakken-gebouw-installaties-rws-dienst-ijsselmeergebied","Vlakken gebouw installaties RWS dienst IJsselmeergebied")</f>
        <v>Vlakken gebouw installaties RWS dienst IJsselmeergebied</v>
      </c>
      <c r="D820" s="6" t="s">
        <v>17</v>
      </c>
      <c r="E820" s="5" t="s">
        <v>18</v>
      </c>
      <c r="F820" s="6" t="s">
        <v>813</v>
      </c>
      <c r="G820" s="5" t="s">
        <v>258</v>
      </c>
      <c r="H820" s="6" t="s">
        <v>20</v>
      </c>
      <c r="I820" s="5" t="s">
        <v>21</v>
      </c>
      <c r="J820" s="4" t="s">
        <v>22</v>
      </c>
      <c r="K820" s="2" t="s">
        <v>23</v>
      </c>
      <c r="L820" s="6" t="s">
        <v>24</v>
      </c>
      <c r="M820" s="5" t="s">
        <v>25</v>
      </c>
      <c r="N820" s="3" t="s">
        <v>26</v>
      </c>
      <c r="O820" s="5">
        <v>2</v>
      </c>
      <c r="P820" s="3" t="s">
        <v>23</v>
      </c>
      <c r="Q820" s="5"/>
    </row>
    <row r="821" spans="1:17" ht="31">
      <c r="A821" s="5">
        <v>816</v>
      </c>
      <c r="B821" s="6" t="s">
        <v>16</v>
      </c>
      <c r="C821" s="5" t="str">
        <f>HYPERLINK("http://data.overheid.nl/data/dataset/vlakken-beheersituatie-rws-dienst-utrecht","Vlakken beheersituatie RWS dienst Utrecht")</f>
        <v>Vlakken beheersituatie RWS dienst Utrecht</v>
      </c>
      <c r="D821" s="6" t="s">
        <v>17</v>
      </c>
      <c r="E821" s="5" t="s">
        <v>18</v>
      </c>
      <c r="F821" s="6" t="s">
        <v>813</v>
      </c>
      <c r="G821" s="5" t="s">
        <v>281</v>
      </c>
      <c r="H821" s="6" t="s">
        <v>20</v>
      </c>
      <c r="I821" s="5" t="s">
        <v>21</v>
      </c>
      <c r="J821" s="4" t="s">
        <v>22</v>
      </c>
      <c r="K821" s="2" t="s">
        <v>23</v>
      </c>
      <c r="L821" s="6" t="s">
        <v>24</v>
      </c>
      <c r="M821" s="5" t="s">
        <v>25</v>
      </c>
      <c r="N821" s="3" t="s">
        <v>26</v>
      </c>
      <c r="O821" s="5">
        <v>2</v>
      </c>
      <c r="P821" s="3" t="s">
        <v>23</v>
      </c>
      <c r="Q821" s="5"/>
    </row>
    <row r="822" spans="1:17" ht="31">
      <c r="A822" s="5">
        <v>817</v>
      </c>
      <c r="B822" s="6" t="s">
        <v>16</v>
      </c>
      <c r="C822" s="5" t="str">
        <f>HYPERLINK("http://data.overheid.nl/data/dataset/vlakken-beheersituatie-rws-dienst-oost-nederland","Vlakken beheersituatie RWS dienst Oost-Nederland")</f>
        <v>Vlakken beheersituatie RWS dienst Oost-Nederland</v>
      </c>
      <c r="D822" s="6" t="s">
        <v>17</v>
      </c>
      <c r="E822" s="5" t="s">
        <v>18</v>
      </c>
      <c r="F822" s="6" t="s">
        <v>813</v>
      </c>
      <c r="G822" s="5" t="s">
        <v>281</v>
      </c>
      <c r="H822" s="6" t="s">
        <v>20</v>
      </c>
      <c r="I822" s="5" t="s">
        <v>21</v>
      </c>
      <c r="J822" s="4" t="s">
        <v>22</v>
      </c>
      <c r="K822" s="2" t="s">
        <v>23</v>
      </c>
      <c r="L822" s="6" t="s">
        <v>24</v>
      </c>
      <c r="M822" s="5" t="s">
        <v>25</v>
      </c>
      <c r="N822" s="3" t="s">
        <v>26</v>
      </c>
      <c r="O822" s="5">
        <v>2</v>
      </c>
      <c r="P822" s="3" t="s">
        <v>23</v>
      </c>
      <c r="Q822" s="5"/>
    </row>
    <row r="823" spans="1:17" ht="31">
      <c r="A823" s="5">
        <v>818</v>
      </c>
      <c r="B823" s="6" t="s">
        <v>16</v>
      </c>
      <c r="C823" s="5" t="str">
        <f>HYPERLINK("http://data.overheid.nl/data/dataset/vlakken-beheersituatie-rws-dienst-noord-nederland","Vlakken beheersituatie RWS dienst Noord-Nederland")</f>
        <v>Vlakken beheersituatie RWS dienst Noord-Nederland</v>
      </c>
      <c r="D823" s="6" t="s">
        <v>17</v>
      </c>
      <c r="E823" s="5" t="s">
        <v>18</v>
      </c>
      <c r="F823" s="6" t="s">
        <v>813</v>
      </c>
      <c r="G823" s="5" t="s">
        <v>281</v>
      </c>
      <c r="H823" s="6" t="s">
        <v>20</v>
      </c>
      <c r="I823" s="5" t="s">
        <v>21</v>
      </c>
      <c r="J823" s="4" t="s">
        <v>22</v>
      </c>
      <c r="K823" s="2" t="s">
        <v>23</v>
      </c>
      <c r="L823" s="6" t="s">
        <v>24</v>
      </c>
      <c r="M823" s="5" t="s">
        <v>25</v>
      </c>
      <c r="N823" s="3" t="s">
        <v>26</v>
      </c>
      <c r="O823" s="5">
        <v>2</v>
      </c>
      <c r="P823" s="3" t="s">
        <v>23</v>
      </c>
      <c r="Q823" s="5"/>
    </row>
    <row r="824" spans="1:17" ht="31">
      <c r="A824" s="5">
        <v>819</v>
      </c>
      <c r="B824" s="6" t="s">
        <v>16</v>
      </c>
      <c r="C824" s="5" t="str">
        <f>HYPERLINK("http://data.overheid.nl/data/dataset/vlakken-beheersituatie-rws-dienst-ijsselmeergebied","Vlakken beheersituatie RWS dienst IJsselmeergebied")</f>
        <v>Vlakken beheersituatie RWS dienst IJsselmeergebied</v>
      </c>
      <c r="D824" s="6" t="s">
        <v>17</v>
      </c>
      <c r="E824" s="5" t="s">
        <v>18</v>
      </c>
      <c r="F824" s="6" t="s">
        <v>813</v>
      </c>
      <c r="G824" s="5" t="s">
        <v>281</v>
      </c>
      <c r="H824" s="6" t="s">
        <v>20</v>
      </c>
      <c r="I824" s="5" t="s">
        <v>21</v>
      </c>
      <c r="J824" s="4" t="s">
        <v>22</v>
      </c>
      <c r="K824" s="2" t="s">
        <v>23</v>
      </c>
      <c r="L824" s="6" t="s">
        <v>24</v>
      </c>
      <c r="M824" s="5" t="s">
        <v>25</v>
      </c>
      <c r="N824" s="3" t="s">
        <v>26</v>
      </c>
      <c r="O824" s="5">
        <v>2</v>
      </c>
      <c r="P824" s="3" t="s">
        <v>23</v>
      </c>
      <c r="Q824" s="5"/>
    </row>
    <row r="825" spans="1:17" ht="31">
      <c r="A825" s="5">
        <v>820</v>
      </c>
      <c r="B825" s="6" t="s">
        <v>16</v>
      </c>
      <c r="C825" s="5" t="str">
        <f>HYPERLINK("http://data.overheid.nl/data/dataset/verharding-vlakken-rws-dienst-utrecht","verharding vlakken RWS dienst Utrecht")</f>
        <v>verharding vlakken RWS dienst Utrecht</v>
      </c>
      <c r="D825" s="6" t="s">
        <v>17</v>
      </c>
      <c r="E825" s="5" t="s">
        <v>18</v>
      </c>
      <c r="F825" s="6" t="s">
        <v>813</v>
      </c>
      <c r="G825" s="5" t="s">
        <v>282</v>
      </c>
      <c r="H825" s="6" t="s">
        <v>20</v>
      </c>
      <c r="I825" s="5" t="s">
        <v>21</v>
      </c>
      <c r="J825" s="4" t="s">
        <v>22</v>
      </c>
      <c r="K825" s="2" t="s">
        <v>23</v>
      </c>
      <c r="L825" s="6" t="s">
        <v>24</v>
      </c>
      <c r="M825" s="5" t="s">
        <v>25</v>
      </c>
      <c r="N825" s="3" t="s">
        <v>26</v>
      </c>
      <c r="O825" s="5">
        <v>2</v>
      </c>
      <c r="P825" s="3" t="s">
        <v>23</v>
      </c>
      <c r="Q825" s="5"/>
    </row>
    <row r="826" spans="1:17" ht="31">
      <c r="A826" s="5">
        <v>821</v>
      </c>
      <c r="B826" s="6" t="s">
        <v>16</v>
      </c>
      <c r="C826" s="5" t="str">
        <f>HYPERLINK("http://data.overheid.nl/data/dataset/verharding-vlakken-rws-dienst-oost-nederland","verharding vlakken RWS dienst Oost-Nederland")</f>
        <v>verharding vlakken RWS dienst Oost-Nederland</v>
      </c>
      <c r="D826" s="6" t="s">
        <v>17</v>
      </c>
      <c r="E826" s="5" t="s">
        <v>18</v>
      </c>
      <c r="F826" s="6" t="s">
        <v>813</v>
      </c>
      <c r="G826" s="5" t="s">
        <v>282</v>
      </c>
      <c r="H826" s="6" t="s">
        <v>20</v>
      </c>
      <c r="I826" s="5" t="s">
        <v>21</v>
      </c>
      <c r="J826" s="4" t="s">
        <v>22</v>
      </c>
      <c r="K826" s="2" t="s">
        <v>23</v>
      </c>
      <c r="L826" s="6" t="s">
        <v>24</v>
      </c>
      <c r="M826" s="5" t="s">
        <v>25</v>
      </c>
      <c r="N826" s="3" t="s">
        <v>26</v>
      </c>
      <c r="O826" s="5">
        <v>2</v>
      </c>
      <c r="P826" s="3" t="s">
        <v>23</v>
      </c>
      <c r="Q826" s="5"/>
    </row>
    <row r="827" spans="1:17" ht="31">
      <c r="A827" s="5">
        <v>822</v>
      </c>
      <c r="B827" s="6" t="s">
        <v>16</v>
      </c>
      <c r="C827" s="5" t="str">
        <f>HYPERLINK("http://data.overheid.nl/data/dataset/verharding-vlakken-rws-dienst-noord-nederland","verharding vlakken RWS dienst Noord-Nederland")</f>
        <v>verharding vlakken RWS dienst Noord-Nederland</v>
      </c>
      <c r="D827" s="6" t="s">
        <v>17</v>
      </c>
      <c r="E827" s="5" t="s">
        <v>18</v>
      </c>
      <c r="F827" s="6" t="s">
        <v>813</v>
      </c>
      <c r="G827" s="5" t="s">
        <v>282</v>
      </c>
      <c r="H827" s="6" t="s">
        <v>20</v>
      </c>
      <c r="I827" s="5" t="s">
        <v>21</v>
      </c>
      <c r="J827" s="4" t="s">
        <v>22</v>
      </c>
      <c r="K827" s="2" t="s">
        <v>23</v>
      </c>
      <c r="L827" s="6" t="s">
        <v>24</v>
      </c>
      <c r="M827" s="5" t="s">
        <v>25</v>
      </c>
      <c r="N827" s="3" t="s">
        <v>26</v>
      </c>
      <c r="O827" s="5">
        <v>2</v>
      </c>
      <c r="P827" s="3" t="s">
        <v>23</v>
      </c>
      <c r="Q827" s="5"/>
    </row>
    <row r="828" spans="1:17" ht="31">
      <c r="A828" s="5">
        <v>823</v>
      </c>
      <c r="B828" s="6" t="s">
        <v>16</v>
      </c>
      <c r="C828" s="5" t="str">
        <f>HYPERLINK("http://data.overheid.nl/data/dataset/verharding-vlakken-rws-dienst-ijsselmeergebied","verharding vlakken RWS dienst IJsselmeergebied")</f>
        <v>verharding vlakken RWS dienst IJsselmeergebied</v>
      </c>
      <c r="D828" s="6" t="s">
        <v>17</v>
      </c>
      <c r="E828" s="5" t="s">
        <v>18</v>
      </c>
      <c r="F828" s="6" t="s">
        <v>813</v>
      </c>
      <c r="G828" s="5" t="s">
        <v>282</v>
      </c>
      <c r="H828" s="6" t="s">
        <v>20</v>
      </c>
      <c r="I828" s="5" t="s">
        <v>21</v>
      </c>
      <c r="J828" s="4" t="s">
        <v>22</v>
      </c>
      <c r="K828" s="2" t="s">
        <v>23</v>
      </c>
      <c r="L828" s="6" t="s">
        <v>24</v>
      </c>
      <c r="M828" s="5" t="s">
        <v>25</v>
      </c>
      <c r="N828" s="3" t="s">
        <v>26</v>
      </c>
      <c r="O828" s="5">
        <v>2</v>
      </c>
      <c r="P828" s="3" t="s">
        <v>23</v>
      </c>
      <c r="Q828" s="5"/>
    </row>
    <row r="829" spans="1:17" ht="46.5">
      <c r="A829" s="5">
        <v>824</v>
      </c>
      <c r="B829" s="6" t="s">
        <v>16</v>
      </c>
      <c r="C829" s="5" t="str">
        <f>HYPERLINK("http://data.overheid.nl/data/dataset/punten-wegmeubilair-rws-dienst-utrecht","Punten wegmeubilair RWS dienst Utrecht")</f>
        <v>Punten wegmeubilair RWS dienst Utrecht</v>
      </c>
      <c r="D829" s="6" t="s">
        <v>17</v>
      </c>
      <c r="E829" s="5" t="s">
        <v>18</v>
      </c>
      <c r="F829" s="6" t="s">
        <v>813</v>
      </c>
      <c r="G829" s="5" t="s">
        <v>259</v>
      </c>
      <c r="H829" s="6" t="s">
        <v>20</v>
      </c>
      <c r="I829" s="5" t="s">
        <v>21</v>
      </c>
      <c r="J829" s="4" t="s">
        <v>22</v>
      </c>
      <c r="K829" s="2" t="s">
        <v>23</v>
      </c>
      <c r="L829" s="6" t="s">
        <v>24</v>
      </c>
      <c r="M829" s="5" t="s">
        <v>25</v>
      </c>
      <c r="N829" s="3" t="s">
        <v>26</v>
      </c>
      <c r="O829" s="5">
        <v>4</v>
      </c>
      <c r="P829" s="3" t="s">
        <v>23</v>
      </c>
      <c r="Q829" s="5"/>
    </row>
    <row r="830" spans="1:17" ht="46.5">
      <c r="A830" s="5">
        <v>825</v>
      </c>
      <c r="B830" s="6" t="s">
        <v>16</v>
      </c>
      <c r="C830" s="5" t="str">
        <f>HYPERLINK("http://data.overheid.nl/data/dataset/punten-wegmeubilair-rws-dienst-oost-nederland","Punten wegmeubilair RWS dienst Oost-Nederland")</f>
        <v>Punten wegmeubilair RWS dienst Oost-Nederland</v>
      </c>
      <c r="D830" s="6" t="s">
        <v>17</v>
      </c>
      <c r="E830" s="5" t="s">
        <v>18</v>
      </c>
      <c r="F830" s="6" t="s">
        <v>813</v>
      </c>
      <c r="G830" s="5" t="s">
        <v>259</v>
      </c>
      <c r="H830" s="6" t="s">
        <v>20</v>
      </c>
      <c r="I830" s="5" t="s">
        <v>21</v>
      </c>
      <c r="J830" s="4" t="s">
        <v>22</v>
      </c>
      <c r="K830" s="2" t="s">
        <v>23</v>
      </c>
      <c r="L830" s="6" t="s">
        <v>24</v>
      </c>
      <c r="M830" s="5" t="s">
        <v>25</v>
      </c>
      <c r="N830" s="3" t="s">
        <v>26</v>
      </c>
      <c r="O830" s="5">
        <v>4</v>
      </c>
      <c r="P830" s="3" t="s">
        <v>23</v>
      </c>
      <c r="Q830" s="5"/>
    </row>
    <row r="831" spans="1:17" ht="46.5">
      <c r="A831" s="5">
        <v>826</v>
      </c>
      <c r="B831" s="6" t="s">
        <v>16</v>
      </c>
      <c r="C831" s="5" t="str">
        <f>HYPERLINK("http://data.overheid.nl/data/dataset/punten-wegmeubilair-rws-dienst-noord-brabant","Punten wegmeubilair RWS dienst Noord-Brabant")</f>
        <v>Punten wegmeubilair RWS dienst Noord-Brabant</v>
      </c>
      <c r="D831" s="6" t="s">
        <v>17</v>
      </c>
      <c r="E831" s="5" t="s">
        <v>18</v>
      </c>
      <c r="F831" s="6" t="s">
        <v>813</v>
      </c>
      <c r="G831" s="5" t="s">
        <v>259</v>
      </c>
      <c r="H831" s="6" t="s">
        <v>20</v>
      </c>
      <c r="I831" s="5" t="s">
        <v>21</v>
      </c>
      <c r="J831" s="4" t="s">
        <v>22</v>
      </c>
      <c r="K831" s="2" t="s">
        <v>23</v>
      </c>
      <c r="L831" s="6" t="s">
        <v>24</v>
      </c>
      <c r="M831" s="5" t="s">
        <v>25</v>
      </c>
      <c r="N831" s="3" t="s">
        <v>26</v>
      </c>
      <c r="O831" s="5">
        <v>4</v>
      </c>
      <c r="P831" s="3" t="s">
        <v>23</v>
      </c>
      <c r="Q831" s="5"/>
    </row>
    <row r="832" spans="1:17" ht="46.5">
      <c r="A832" s="5">
        <v>827</v>
      </c>
      <c r="B832" s="6" t="s">
        <v>16</v>
      </c>
      <c r="C832" s="5" t="str">
        <f>HYPERLINK("http://data.overheid.nl/data/dataset/punten-wegmeubilair-rws-dienst-ijsselmeergebied","Punten wegmeubilair RWS dienst IJsselmeergebied")</f>
        <v>Punten wegmeubilair RWS dienst IJsselmeergebied</v>
      </c>
      <c r="D832" s="6" t="s">
        <v>17</v>
      </c>
      <c r="E832" s="5" t="s">
        <v>18</v>
      </c>
      <c r="F832" s="6" t="s">
        <v>813</v>
      </c>
      <c r="G832" s="5" t="s">
        <v>259</v>
      </c>
      <c r="H832" s="6" t="s">
        <v>20</v>
      </c>
      <c r="I832" s="5" t="s">
        <v>21</v>
      </c>
      <c r="J832" s="4" t="s">
        <v>22</v>
      </c>
      <c r="K832" s="2" t="s">
        <v>23</v>
      </c>
      <c r="L832" s="6" t="s">
        <v>24</v>
      </c>
      <c r="M832" s="5" t="s">
        <v>25</v>
      </c>
      <c r="N832" s="3" t="s">
        <v>26</v>
      </c>
      <c r="O832" s="5">
        <v>4</v>
      </c>
      <c r="P832" s="3" t="s">
        <v>23</v>
      </c>
      <c r="Q832" s="5"/>
    </row>
    <row r="833" spans="1:17" ht="31">
      <c r="A833" s="5">
        <v>828</v>
      </c>
      <c r="B833" s="6" t="s">
        <v>16</v>
      </c>
      <c r="C833" s="5" t="str">
        <f>HYPERLINK("http://data.overheid.nl/data/dataset/punten-waterafvoer-rws-dienst-utrecht","Punten waterafvoer RWS dienst Utrecht")</f>
        <v>Punten waterafvoer RWS dienst Utrecht</v>
      </c>
      <c r="D833" s="6" t="s">
        <v>17</v>
      </c>
      <c r="E833" s="5" t="s">
        <v>18</v>
      </c>
      <c r="F833" s="6" t="s">
        <v>813</v>
      </c>
      <c r="G833" s="5" t="s">
        <v>260</v>
      </c>
      <c r="H833" s="6" t="s">
        <v>20</v>
      </c>
      <c r="I833" s="5" t="s">
        <v>21</v>
      </c>
      <c r="J833" s="4" t="s">
        <v>22</v>
      </c>
      <c r="K833" s="2" t="s">
        <v>23</v>
      </c>
      <c r="L833" s="6" t="s">
        <v>24</v>
      </c>
      <c r="M833" s="5" t="s">
        <v>25</v>
      </c>
      <c r="N833" s="3" t="s">
        <v>26</v>
      </c>
      <c r="O833" s="5">
        <v>2</v>
      </c>
      <c r="P833" s="3" t="s">
        <v>23</v>
      </c>
      <c r="Q833" s="5"/>
    </row>
    <row r="834" spans="1:17" ht="31">
      <c r="A834" s="5">
        <v>829</v>
      </c>
      <c r="B834" s="6" t="s">
        <v>16</v>
      </c>
      <c r="C834" s="5" t="str">
        <f>HYPERLINK("http://data.overheid.nl/data/dataset/punten-waterafvoer-rws-dienst-oost-nederland","Punten waterafvoer RWS dienst Oost-Nederland")</f>
        <v>Punten waterafvoer RWS dienst Oost-Nederland</v>
      </c>
      <c r="D834" s="6" t="s">
        <v>17</v>
      </c>
      <c r="E834" s="5" t="s">
        <v>18</v>
      </c>
      <c r="F834" s="6" t="s">
        <v>813</v>
      </c>
      <c r="G834" s="5" t="s">
        <v>260</v>
      </c>
      <c r="H834" s="6" t="s">
        <v>20</v>
      </c>
      <c r="I834" s="5" t="s">
        <v>21</v>
      </c>
      <c r="J834" s="4" t="s">
        <v>22</v>
      </c>
      <c r="K834" s="2" t="s">
        <v>23</v>
      </c>
      <c r="L834" s="6" t="s">
        <v>24</v>
      </c>
      <c r="M834" s="5" t="s">
        <v>25</v>
      </c>
      <c r="N834" s="3" t="s">
        <v>26</v>
      </c>
      <c r="O834" s="5">
        <v>2</v>
      </c>
      <c r="P834" s="3" t="s">
        <v>23</v>
      </c>
      <c r="Q834" s="5"/>
    </row>
    <row r="835" spans="1:17" ht="31">
      <c r="A835" s="5">
        <v>830</v>
      </c>
      <c r="B835" s="6" t="s">
        <v>16</v>
      </c>
      <c r="C835" s="5" t="str">
        <f>HYPERLINK("http://data.overheid.nl/data/dataset/punten-waterafvoer-rws-dienst-ijsselmeergebied","Punten waterafvoer RWS dienst IJsselmeergebied")</f>
        <v>Punten waterafvoer RWS dienst IJsselmeergebied</v>
      </c>
      <c r="D835" s="6" t="s">
        <v>17</v>
      </c>
      <c r="E835" s="5" t="s">
        <v>18</v>
      </c>
      <c r="F835" s="6" t="s">
        <v>813</v>
      </c>
      <c r="G835" s="5" t="s">
        <v>260</v>
      </c>
      <c r="H835" s="6" t="s">
        <v>20</v>
      </c>
      <c r="I835" s="5" t="s">
        <v>21</v>
      </c>
      <c r="J835" s="4" t="s">
        <v>22</v>
      </c>
      <c r="K835" s="2" t="s">
        <v>23</v>
      </c>
      <c r="L835" s="6" t="s">
        <v>24</v>
      </c>
      <c r="M835" s="5" t="s">
        <v>25</v>
      </c>
      <c r="N835" s="3" t="s">
        <v>26</v>
      </c>
      <c r="O835" s="5">
        <v>2</v>
      </c>
      <c r="P835" s="3" t="s">
        <v>23</v>
      </c>
      <c r="Q835" s="5"/>
    </row>
    <row r="836" spans="1:17" ht="31">
      <c r="A836" s="5">
        <v>831</v>
      </c>
      <c r="B836" s="6" t="s">
        <v>16</v>
      </c>
      <c r="C836" s="5" t="str">
        <f>HYPERLINK("http://data.overheid.nl/data/dataset/punten-voorzieningen-rws-dienst-utrecht","Punten voorzieningen RWS dienst Utrecht")</f>
        <v>Punten voorzieningen RWS dienst Utrecht</v>
      </c>
      <c r="D836" s="6" t="s">
        <v>17</v>
      </c>
      <c r="E836" s="5" t="s">
        <v>18</v>
      </c>
      <c r="F836" s="6" t="s">
        <v>813</v>
      </c>
      <c r="G836" s="5" t="s">
        <v>261</v>
      </c>
      <c r="H836" s="6" t="s">
        <v>20</v>
      </c>
      <c r="I836" s="5" t="s">
        <v>21</v>
      </c>
      <c r="J836" s="4" t="s">
        <v>22</v>
      </c>
      <c r="K836" s="2" t="s">
        <v>23</v>
      </c>
      <c r="L836" s="6" t="s">
        <v>24</v>
      </c>
      <c r="M836" s="5" t="s">
        <v>25</v>
      </c>
      <c r="N836" s="3" t="s">
        <v>26</v>
      </c>
      <c r="O836" s="5">
        <v>2</v>
      </c>
      <c r="P836" s="3" t="s">
        <v>23</v>
      </c>
      <c r="Q836" s="5"/>
    </row>
    <row r="837" spans="1:17" ht="31">
      <c r="A837" s="5">
        <v>832</v>
      </c>
      <c r="B837" s="6" t="s">
        <v>16</v>
      </c>
      <c r="C837" s="5" t="str">
        <f>HYPERLINK("http://data.overheid.nl/data/dataset/punten-voorzieningen-rws-dienst-oost-nederland","Punten voorzieningen RWS dienst Oost-Nederland")</f>
        <v>Punten voorzieningen RWS dienst Oost-Nederland</v>
      </c>
      <c r="D837" s="6" t="s">
        <v>17</v>
      </c>
      <c r="E837" s="5" t="s">
        <v>18</v>
      </c>
      <c r="F837" s="6" t="s">
        <v>813</v>
      </c>
      <c r="G837" s="5" t="s">
        <v>261</v>
      </c>
      <c r="H837" s="6" t="s">
        <v>20</v>
      </c>
      <c r="I837" s="5" t="s">
        <v>21</v>
      </c>
      <c r="J837" s="4" t="s">
        <v>22</v>
      </c>
      <c r="K837" s="2" t="s">
        <v>23</v>
      </c>
      <c r="L837" s="6" t="s">
        <v>24</v>
      </c>
      <c r="M837" s="5" t="s">
        <v>25</v>
      </c>
      <c r="N837" s="3" t="s">
        <v>26</v>
      </c>
      <c r="O837" s="5">
        <v>2</v>
      </c>
      <c r="P837" s="3" t="s">
        <v>23</v>
      </c>
      <c r="Q837" s="5"/>
    </row>
    <row r="838" spans="1:17" ht="31">
      <c r="A838" s="5">
        <v>833</v>
      </c>
      <c r="B838" s="6" t="s">
        <v>16</v>
      </c>
      <c r="C838" s="5" t="str">
        <f>HYPERLINK("http://data.overheid.nl/data/dataset/punten-voorzieningen-rws-dienst-ijsselmeergebied","Punten voorzieningen RWS dienst IJsselmeergebied")</f>
        <v>Punten voorzieningen RWS dienst IJsselmeergebied</v>
      </c>
      <c r="D838" s="6" t="s">
        <v>17</v>
      </c>
      <c r="E838" s="5" t="s">
        <v>18</v>
      </c>
      <c r="F838" s="6" t="s">
        <v>813</v>
      </c>
      <c r="G838" s="5" t="s">
        <v>261</v>
      </c>
      <c r="H838" s="6" t="s">
        <v>20</v>
      </c>
      <c r="I838" s="5" t="s">
        <v>21</v>
      </c>
      <c r="J838" s="4" t="s">
        <v>22</v>
      </c>
      <c r="K838" s="2" t="s">
        <v>23</v>
      </c>
      <c r="L838" s="6" t="s">
        <v>24</v>
      </c>
      <c r="M838" s="5" t="s">
        <v>25</v>
      </c>
      <c r="N838" s="3" t="s">
        <v>26</v>
      </c>
      <c r="O838" s="5">
        <v>2</v>
      </c>
      <c r="P838" s="3" t="s">
        <v>23</v>
      </c>
      <c r="Q838" s="5"/>
    </row>
    <row r="839" spans="1:17" ht="31">
      <c r="A839" s="5">
        <v>834</v>
      </c>
      <c r="B839" s="6" t="s">
        <v>16</v>
      </c>
      <c r="C839" s="5" t="str">
        <f>HYPERLINK("http://data.overheid.nl/data/dataset/punten-markering-rws-dienst-utrecht","Punten markering RWS dienst Utrecht")</f>
        <v>Punten markering RWS dienst Utrecht</v>
      </c>
      <c r="D839" s="6" t="s">
        <v>17</v>
      </c>
      <c r="E839" s="5" t="s">
        <v>18</v>
      </c>
      <c r="F839" s="6" t="s">
        <v>813</v>
      </c>
      <c r="G839" s="5" t="s">
        <v>262</v>
      </c>
      <c r="H839" s="6" t="s">
        <v>20</v>
      </c>
      <c r="I839" s="5" t="s">
        <v>21</v>
      </c>
      <c r="J839" s="4" t="s">
        <v>22</v>
      </c>
      <c r="K839" s="2" t="s">
        <v>23</v>
      </c>
      <c r="L839" s="6" t="s">
        <v>24</v>
      </c>
      <c r="M839" s="5" t="s">
        <v>25</v>
      </c>
      <c r="N839" s="3" t="s">
        <v>26</v>
      </c>
      <c r="O839" s="5">
        <v>2</v>
      </c>
      <c r="P839" s="3" t="s">
        <v>23</v>
      </c>
      <c r="Q839" s="5"/>
    </row>
    <row r="840" spans="1:17" ht="31">
      <c r="A840" s="5">
        <v>835</v>
      </c>
      <c r="B840" s="6" t="s">
        <v>16</v>
      </c>
      <c r="C840" s="5" t="str">
        <f>HYPERLINK("http://data.overheid.nl/data/dataset/punten-markering-rws-dienst-oost-nederland","Punten markering RWS dienst Oost-Nederland")</f>
        <v>Punten markering RWS dienst Oost-Nederland</v>
      </c>
      <c r="D840" s="6" t="s">
        <v>17</v>
      </c>
      <c r="E840" s="5" t="s">
        <v>18</v>
      </c>
      <c r="F840" s="6" t="s">
        <v>813</v>
      </c>
      <c r="G840" s="5" t="s">
        <v>262</v>
      </c>
      <c r="H840" s="6" t="s">
        <v>20</v>
      </c>
      <c r="I840" s="5" t="s">
        <v>21</v>
      </c>
      <c r="J840" s="4" t="s">
        <v>22</v>
      </c>
      <c r="K840" s="2" t="s">
        <v>23</v>
      </c>
      <c r="L840" s="6" t="s">
        <v>24</v>
      </c>
      <c r="M840" s="5" t="s">
        <v>25</v>
      </c>
      <c r="N840" s="3" t="s">
        <v>26</v>
      </c>
      <c r="O840" s="5">
        <v>2</v>
      </c>
      <c r="P840" s="3" t="s">
        <v>23</v>
      </c>
      <c r="Q840" s="5"/>
    </row>
    <row r="841" spans="1:17" ht="31">
      <c r="A841" s="5">
        <v>836</v>
      </c>
      <c r="B841" s="6" t="s">
        <v>16</v>
      </c>
      <c r="C841" s="5" t="str">
        <f>HYPERLINK("http://data.overheid.nl/data/dataset/punten-markering-rws-dienst-ijsselmeergebied","Punten markering RWS dienst IJsselmeergebied")</f>
        <v>Punten markering RWS dienst IJsselmeergebied</v>
      </c>
      <c r="D841" s="6" t="s">
        <v>17</v>
      </c>
      <c r="E841" s="5" t="s">
        <v>18</v>
      </c>
      <c r="F841" s="6" t="s">
        <v>813</v>
      </c>
      <c r="G841" s="5" t="s">
        <v>262</v>
      </c>
      <c r="H841" s="6" t="s">
        <v>20</v>
      </c>
      <c r="I841" s="5" t="s">
        <v>21</v>
      </c>
      <c r="J841" s="4" t="s">
        <v>22</v>
      </c>
      <c r="K841" s="2" t="s">
        <v>23</v>
      </c>
      <c r="L841" s="6" t="s">
        <v>24</v>
      </c>
      <c r="M841" s="5" t="s">
        <v>25</v>
      </c>
      <c r="N841" s="3" t="s">
        <v>26</v>
      </c>
      <c r="O841" s="5">
        <v>2</v>
      </c>
      <c r="P841" s="3" t="s">
        <v>23</v>
      </c>
      <c r="Q841" s="5"/>
    </row>
    <row r="842" spans="1:17" ht="31">
      <c r="A842" s="5">
        <v>837</v>
      </c>
      <c r="B842" s="6" t="s">
        <v>16</v>
      </c>
      <c r="C842" s="5" t="str">
        <f>HYPERLINK("http://data.overheid.nl/data/dataset/punten-lichtmast-rws-dienst-utrecht","Punten lichtmast RWS dienst Utrecht")</f>
        <v>Punten lichtmast RWS dienst Utrecht</v>
      </c>
      <c r="D842" s="6" t="s">
        <v>17</v>
      </c>
      <c r="E842" s="5" t="s">
        <v>18</v>
      </c>
      <c r="F842" s="6" t="s">
        <v>813</v>
      </c>
      <c r="G842" s="5" t="s">
        <v>283</v>
      </c>
      <c r="H842" s="6" t="s">
        <v>20</v>
      </c>
      <c r="I842" s="5" t="s">
        <v>21</v>
      </c>
      <c r="J842" s="4" t="s">
        <v>22</v>
      </c>
      <c r="K842" s="2" t="s">
        <v>23</v>
      </c>
      <c r="L842" s="6" t="s">
        <v>24</v>
      </c>
      <c r="M842" s="5" t="s">
        <v>25</v>
      </c>
      <c r="N842" s="3" t="s">
        <v>26</v>
      </c>
      <c r="O842" s="5">
        <v>2</v>
      </c>
      <c r="P842" s="3" t="s">
        <v>23</v>
      </c>
      <c r="Q842" s="5"/>
    </row>
    <row r="843" spans="1:17" ht="31">
      <c r="A843" s="5">
        <v>838</v>
      </c>
      <c r="B843" s="6" t="s">
        <v>16</v>
      </c>
      <c r="C843" s="5" t="str">
        <f>HYPERLINK("http://data.overheid.nl/data/dataset/punten-lichtmast-rws-dienst-oost-nederland","Punten lichtmast RWS dienst Oost-Nederland")</f>
        <v>Punten lichtmast RWS dienst Oost-Nederland</v>
      </c>
      <c r="D843" s="6" t="s">
        <v>17</v>
      </c>
      <c r="E843" s="5" t="s">
        <v>18</v>
      </c>
      <c r="F843" s="6" t="s">
        <v>813</v>
      </c>
      <c r="G843" s="5" t="s">
        <v>283</v>
      </c>
      <c r="H843" s="6" t="s">
        <v>20</v>
      </c>
      <c r="I843" s="5" t="s">
        <v>21</v>
      </c>
      <c r="J843" s="4" t="s">
        <v>22</v>
      </c>
      <c r="K843" s="2" t="s">
        <v>23</v>
      </c>
      <c r="L843" s="6" t="s">
        <v>24</v>
      </c>
      <c r="M843" s="5" t="s">
        <v>25</v>
      </c>
      <c r="N843" s="3" t="s">
        <v>26</v>
      </c>
      <c r="O843" s="5">
        <v>2</v>
      </c>
      <c r="P843" s="3" t="s">
        <v>23</v>
      </c>
      <c r="Q843" s="5"/>
    </row>
    <row r="844" spans="1:17" ht="31">
      <c r="A844" s="5">
        <v>839</v>
      </c>
      <c r="B844" s="6" t="s">
        <v>16</v>
      </c>
      <c r="C844" s="5" t="str">
        <f>HYPERLINK("http://data.overheid.nl/data/dataset/punten-lichtmast-rws-dienst-noord-nederland","Punten lichtmast RWS dienst Noord-Nederland")</f>
        <v>Punten lichtmast RWS dienst Noord-Nederland</v>
      </c>
      <c r="D844" s="6" t="s">
        <v>17</v>
      </c>
      <c r="E844" s="5" t="s">
        <v>18</v>
      </c>
      <c r="F844" s="6" t="s">
        <v>813</v>
      </c>
      <c r="G844" s="5" t="s">
        <v>283</v>
      </c>
      <c r="H844" s="6" t="s">
        <v>20</v>
      </c>
      <c r="I844" s="5" t="s">
        <v>21</v>
      </c>
      <c r="J844" s="4" t="s">
        <v>22</v>
      </c>
      <c r="K844" s="2" t="s">
        <v>23</v>
      </c>
      <c r="L844" s="6" t="s">
        <v>24</v>
      </c>
      <c r="M844" s="5" t="s">
        <v>25</v>
      </c>
      <c r="N844" s="3" t="s">
        <v>26</v>
      </c>
      <c r="O844" s="5">
        <v>2</v>
      </c>
      <c r="P844" s="3" t="s">
        <v>23</v>
      </c>
      <c r="Q844" s="5"/>
    </row>
    <row r="845" spans="1:17" ht="31">
      <c r="A845" s="5">
        <v>840</v>
      </c>
      <c r="B845" s="6" t="s">
        <v>16</v>
      </c>
      <c r="C845" s="5" t="str">
        <f>HYPERLINK("http://data.overheid.nl/data/dataset/punten-lichtmast-rws-dienst-ijsselmeergebied","Punten lichtmast RWS dienst IJsselmeergebied")</f>
        <v>Punten lichtmast RWS dienst IJsselmeergebied</v>
      </c>
      <c r="D845" s="6" t="s">
        <v>17</v>
      </c>
      <c r="E845" s="5" t="s">
        <v>18</v>
      </c>
      <c r="F845" s="6" t="s">
        <v>813</v>
      </c>
      <c r="G845" s="5" t="s">
        <v>283</v>
      </c>
      <c r="H845" s="6" t="s">
        <v>20</v>
      </c>
      <c r="I845" s="5" t="s">
        <v>21</v>
      </c>
      <c r="J845" s="4" t="s">
        <v>22</v>
      </c>
      <c r="K845" s="2" t="s">
        <v>23</v>
      </c>
      <c r="L845" s="6" t="s">
        <v>24</v>
      </c>
      <c r="M845" s="5" t="s">
        <v>25</v>
      </c>
      <c r="N845" s="3" t="s">
        <v>26</v>
      </c>
      <c r="O845" s="5">
        <v>2</v>
      </c>
      <c r="P845" s="3" t="s">
        <v>23</v>
      </c>
      <c r="Q845" s="5"/>
    </row>
    <row r="846" spans="1:17" ht="31">
      <c r="A846" s="5">
        <v>841</v>
      </c>
      <c r="B846" s="6" t="s">
        <v>16</v>
      </c>
      <c r="C846" s="5" t="str">
        <f>HYPERLINK("http://data.overheid.nl/data/dataset/punten-kunstwerken-rws-dienst-utrecht","Punten kunstwerken RWS dienst Utrecht")</f>
        <v>Punten kunstwerken RWS dienst Utrecht</v>
      </c>
      <c r="D846" s="6" t="s">
        <v>17</v>
      </c>
      <c r="E846" s="5" t="s">
        <v>18</v>
      </c>
      <c r="F846" s="6" t="s">
        <v>813</v>
      </c>
      <c r="G846" s="5" t="s">
        <v>263</v>
      </c>
      <c r="H846" s="6" t="s">
        <v>20</v>
      </c>
      <c r="I846" s="5" t="s">
        <v>21</v>
      </c>
      <c r="J846" s="4" t="s">
        <v>22</v>
      </c>
      <c r="K846" s="2" t="s">
        <v>23</v>
      </c>
      <c r="L846" s="6" t="s">
        <v>24</v>
      </c>
      <c r="M846" s="5" t="s">
        <v>25</v>
      </c>
      <c r="N846" s="3" t="s">
        <v>26</v>
      </c>
      <c r="O846" s="5">
        <v>2</v>
      </c>
      <c r="P846" s="3" t="s">
        <v>23</v>
      </c>
      <c r="Q846" s="5"/>
    </row>
    <row r="847" spans="1:17" ht="31">
      <c r="A847" s="5">
        <v>842</v>
      </c>
      <c r="B847" s="6" t="s">
        <v>16</v>
      </c>
      <c r="C847" s="5" t="str">
        <f>HYPERLINK("http://data.overheid.nl/data/dataset/punten-kunstwerken-rws-dienst-oost-nederland","Punten kunstwerken RWS dienst Oost-Nederland")</f>
        <v>Punten kunstwerken RWS dienst Oost-Nederland</v>
      </c>
      <c r="D847" s="6" t="s">
        <v>17</v>
      </c>
      <c r="E847" s="5" t="s">
        <v>18</v>
      </c>
      <c r="F847" s="6" t="s">
        <v>813</v>
      </c>
      <c r="G847" s="5" t="s">
        <v>263</v>
      </c>
      <c r="H847" s="6" t="s">
        <v>20</v>
      </c>
      <c r="I847" s="5" t="s">
        <v>21</v>
      </c>
      <c r="J847" s="4" t="s">
        <v>22</v>
      </c>
      <c r="K847" s="2" t="s">
        <v>23</v>
      </c>
      <c r="L847" s="6" t="s">
        <v>24</v>
      </c>
      <c r="M847" s="5" t="s">
        <v>25</v>
      </c>
      <c r="N847" s="3" t="s">
        <v>26</v>
      </c>
      <c r="O847" s="5">
        <v>2</v>
      </c>
      <c r="P847" s="3" t="s">
        <v>23</v>
      </c>
      <c r="Q847" s="5"/>
    </row>
    <row r="848" spans="1:17" ht="31">
      <c r="A848" s="5">
        <v>843</v>
      </c>
      <c r="B848" s="6" t="s">
        <v>16</v>
      </c>
      <c r="C848" s="5" t="str">
        <f>HYPERLINK("http://data.overheid.nl/data/dataset/punten-kunstwerken-rws-dienst-ijsselmeergebied","Punten kunstwerken RWS dienst IJsselmeergebied")</f>
        <v>Punten kunstwerken RWS dienst IJsselmeergebied</v>
      </c>
      <c r="D848" s="6" t="s">
        <v>17</v>
      </c>
      <c r="E848" s="5" t="s">
        <v>18</v>
      </c>
      <c r="F848" s="6" t="s">
        <v>813</v>
      </c>
      <c r="G848" s="5" t="s">
        <v>263</v>
      </c>
      <c r="H848" s="6" t="s">
        <v>20</v>
      </c>
      <c r="I848" s="5" t="s">
        <v>21</v>
      </c>
      <c r="J848" s="4" t="s">
        <v>22</v>
      </c>
      <c r="K848" s="2" t="s">
        <v>23</v>
      </c>
      <c r="L848" s="6" t="s">
        <v>24</v>
      </c>
      <c r="M848" s="5" t="s">
        <v>25</v>
      </c>
      <c r="N848" s="3" t="s">
        <v>26</v>
      </c>
      <c r="O848" s="5">
        <v>2</v>
      </c>
      <c r="P848" s="3" t="s">
        <v>23</v>
      </c>
      <c r="Q848" s="5"/>
    </row>
    <row r="849" spans="1:17" ht="31">
      <c r="A849" s="5">
        <v>844</v>
      </c>
      <c r="B849" s="6" t="s">
        <v>16</v>
      </c>
      <c r="C849" s="5" t="str">
        <f>HYPERLINK("http://data.overheid.nl/data/dataset/punten-hectometerborden-rws-dienst-utrecht","Punten hectometerborden RWS dienst Utrecht")</f>
        <v>Punten hectometerborden RWS dienst Utrecht</v>
      </c>
      <c r="D849" s="6" t="s">
        <v>17</v>
      </c>
      <c r="E849" s="5" t="s">
        <v>18</v>
      </c>
      <c r="F849" s="6" t="s">
        <v>813</v>
      </c>
      <c r="G849" s="5" t="s">
        <v>284</v>
      </c>
      <c r="H849" s="6" t="s">
        <v>20</v>
      </c>
      <c r="I849" s="5" t="s">
        <v>21</v>
      </c>
      <c r="J849" s="4" t="s">
        <v>22</v>
      </c>
      <c r="K849" s="2" t="s">
        <v>23</v>
      </c>
      <c r="L849" s="6" t="s">
        <v>24</v>
      </c>
      <c r="M849" s="5" t="s">
        <v>25</v>
      </c>
      <c r="N849" s="3" t="s">
        <v>26</v>
      </c>
      <c r="O849" s="5">
        <v>2</v>
      </c>
      <c r="P849" s="3" t="s">
        <v>23</v>
      </c>
      <c r="Q849" s="5"/>
    </row>
    <row r="850" spans="1:17" ht="31">
      <c r="A850" s="5">
        <v>845</v>
      </c>
      <c r="B850" s="6" t="s">
        <v>16</v>
      </c>
      <c r="C850" s="5" t="str">
        <f>HYPERLINK("http://data.overheid.nl/data/dataset/punten-hectometerborden-rws-dienst-oost-nederland","Punten hectometerborden RWS dienst Oost-Nederland")</f>
        <v>Punten hectometerborden RWS dienst Oost-Nederland</v>
      </c>
      <c r="D850" s="6" t="s">
        <v>17</v>
      </c>
      <c r="E850" s="5" t="s">
        <v>18</v>
      </c>
      <c r="F850" s="6" t="s">
        <v>813</v>
      </c>
      <c r="G850" s="5" t="s">
        <v>284</v>
      </c>
      <c r="H850" s="6" t="s">
        <v>20</v>
      </c>
      <c r="I850" s="5" t="s">
        <v>21</v>
      </c>
      <c r="J850" s="4" t="s">
        <v>22</v>
      </c>
      <c r="K850" s="2" t="s">
        <v>23</v>
      </c>
      <c r="L850" s="6" t="s">
        <v>24</v>
      </c>
      <c r="M850" s="5" t="s">
        <v>25</v>
      </c>
      <c r="N850" s="3" t="s">
        <v>26</v>
      </c>
      <c r="O850" s="5">
        <v>2</v>
      </c>
      <c r="P850" s="3" t="s">
        <v>23</v>
      </c>
      <c r="Q850" s="5"/>
    </row>
    <row r="851" spans="1:17" ht="31">
      <c r="A851" s="5">
        <v>846</v>
      </c>
      <c r="B851" s="6" t="s">
        <v>16</v>
      </c>
      <c r="C851" s="5" t="str">
        <f>HYPERLINK("http://data.overheid.nl/data/dataset/punten-hectometerborden-rws-dienst-noord-nederland","Punten hectometerborden RWS dienst Noord-Nederland")</f>
        <v>Punten hectometerborden RWS dienst Noord-Nederland</v>
      </c>
      <c r="D851" s="6" t="s">
        <v>17</v>
      </c>
      <c r="E851" s="5" t="s">
        <v>18</v>
      </c>
      <c r="F851" s="6" t="s">
        <v>813</v>
      </c>
      <c r="G851" s="5" t="s">
        <v>284</v>
      </c>
      <c r="H851" s="6" t="s">
        <v>20</v>
      </c>
      <c r="I851" s="5" t="s">
        <v>21</v>
      </c>
      <c r="J851" s="4" t="s">
        <v>22</v>
      </c>
      <c r="K851" s="2" t="s">
        <v>23</v>
      </c>
      <c r="L851" s="6" t="s">
        <v>24</v>
      </c>
      <c r="M851" s="5" t="s">
        <v>25</v>
      </c>
      <c r="N851" s="3" t="s">
        <v>26</v>
      </c>
      <c r="O851" s="5">
        <v>2</v>
      </c>
      <c r="P851" s="3" t="s">
        <v>23</v>
      </c>
      <c r="Q851" s="5"/>
    </row>
    <row r="852" spans="1:17" ht="31">
      <c r="A852" s="5">
        <v>847</v>
      </c>
      <c r="B852" s="6" t="s">
        <v>16</v>
      </c>
      <c r="C852" s="5" t="str">
        <f>HYPERLINK("http://data.overheid.nl/data/dataset/punten-hectometerborden-rws-dienst-ijsselmeergebied","Punten hectometerborden RWS dienst IJsselmeergebied")</f>
        <v>Punten hectometerborden RWS dienst IJsselmeergebied</v>
      </c>
      <c r="D852" s="6" t="s">
        <v>17</v>
      </c>
      <c r="E852" s="5" t="s">
        <v>18</v>
      </c>
      <c r="F852" s="6" t="s">
        <v>813</v>
      </c>
      <c r="G852" s="5" t="s">
        <v>284</v>
      </c>
      <c r="H852" s="6" t="s">
        <v>20</v>
      </c>
      <c r="I852" s="5" t="s">
        <v>21</v>
      </c>
      <c r="J852" s="4" t="s">
        <v>22</v>
      </c>
      <c r="K852" s="2" t="s">
        <v>23</v>
      </c>
      <c r="L852" s="6" t="s">
        <v>24</v>
      </c>
      <c r="M852" s="5" t="s">
        <v>25</v>
      </c>
      <c r="N852" s="3" t="s">
        <v>26</v>
      </c>
      <c r="O852" s="5">
        <v>2</v>
      </c>
      <c r="P852" s="3" t="s">
        <v>23</v>
      </c>
      <c r="Q852" s="5"/>
    </row>
    <row r="853" spans="1:17" ht="31">
      <c r="A853" s="5">
        <v>848</v>
      </c>
      <c r="B853" s="6" t="s">
        <v>16</v>
      </c>
      <c r="C853" s="5" t="str">
        <f>HYPERLINK("http://data.overheid.nl/data/dataset/punten-groen-rws-dienst-utrecht","Punten groen RWS dienst Utrecht")</f>
        <v>Punten groen RWS dienst Utrecht</v>
      </c>
      <c r="D853" s="6" t="s">
        <v>17</v>
      </c>
      <c r="E853" s="5" t="s">
        <v>18</v>
      </c>
      <c r="F853" s="6" t="s">
        <v>813</v>
      </c>
      <c r="G853" s="5" t="s">
        <v>285</v>
      </c>
      <c r="H853" s="6" t="s">
        <v>20</v>
      </c>
      <c r="I853" s="5" t="s">
        <v>21</v>
      </c>
      <c r="J853" s="4" t="s">
        <v>22</v>
      </c>
      <c r="K853" s="2" t="s">
        <v>23</v>
      </c>
      <c r="L853" s="6" t="s">
        <v>24</v>
      </c>
      <c r="M853" s="5" t="s">
        <v>25</v>
      </c>
      <c r="N853" s="3" t="s">
        <v>26</v>
      </c>
      <c r="O853" s="5">
        <v>2</v>
      </c>
      <c r="P853" s="3" t="s">
        <v>23</v>
      </c>
      <c r="Q853" s="5"/>
    </row>
    <row r="854" spans="1:17" ht="31">
      <c r="A854" s="5">
        <v>849</v>
      </c>
      <c r="B854" s="6" t="s">
        <v>16</v>
      </c>
      <c r="C854" s="5" t="str">
        <f>HYPERLINK("http://data.overheid.nl/data/dataset/punten-groen-rws-dienst-oost-nederland","Punten groen RWS dienst Oost-Nederland")</f>
        <v>Punten groen RWS dienst Oost-Nederland</v>
      </c>
      <c r="D854" s="6" t="s">
        <v>17</v>
      </c>
      <c r="E854" s="5" t="s">
        <v>18</v>
      </c>
      <c r="F854" s="6" t="s">
        <v>813</v>
      </c>
      <c r="G854" s="5" t="s">
        <v>285</v>
      </c>
      <c r="H854" s="6" t="s">
        <v>20</v>
      </c>
      <c r="I854" s="5" t="s">
        <v>21</v>
      </c>
      <c r="J854" s="4" t="s">
        <v>22</v>
      </c>
      <c r="K854" s="2" t="s">
        <v>23</v>
      </c>
      <c r="L854" s="6" t="s">
        <v>24</v>
      </c>
      <c r="M854" s="5" t="s">
        <v>25</v>
      </c>
      <c r="N854" s="3" t="s">
        <v>26</v>
      </c>
      <c r="O854" s="5">
        <v>2</v>
      </c>
      <c r="P854" s="3" t="s">
        <v>23</v>
      </c>
      <c r="Q854" s="5"/>
    </row>
    <row r="855" spans="1:17" ht="31">
      <c r="A855" s="5">
        <v>850</v>
      </c>
      <c r="B855" s="6" t="s">
        <v>16</v>
      </c>
      <c r="C855" s="5" t="str">
        <f>HYPERLINK("http://data.overheid.nl/data/dataset/punten-groen-rws-dienst-noord-nederland","Punten groen RWS dienst Noord-Nederland")</f>
        <v>Punten groen RWS dienst Noord-Nederland</v>
      </c>
      <c r="D855" s="6" t="s">
        <v>17</v>
      </c>
      <c r="E855" s="5" t="s">
        <v>18</v>
      </c>
      <c r="F855" s="6" t="s">
        <v>813</v>
      </c>
      <c r="G855" s="5" t="s">
        <v>285</v>
      </c>
      <c r="H855" s="6" t="s">
        <v>20</v>
      </c>
      <c r="I855" s="5" t="s">
        <v>21</v>
      </c>
      <c r="J855" s="4" t="s">
        <v>22</v>
      </c>
      <c r="K855" s="2" t="s">
        <v>23</v>
      </c>
      <c r="L855" s="6" t="s">
        <v>24</v>
      </c>
      <c r="M855" s="5" t="s">
        <v>25</v>
      </c>
      <c r="N855" s="3" t="s">
        <v>26</v>
      </c>
      <c r="O855" s="5">
        <v>2</v>
      </c>
      <c r="P855" s="3" t="s">
        <v>23</v>
      </c>
      <c r="Q855" s="5"/>
    </row>
    <row r="856" spans="1:17" ht="31">
      <c r="A856" s="5">
        <v>851</v>
      </c>
      <c r="B856" s="6" t="s">
        <v>16</v>
      </c>
      <c r="C856" s="5" t="str">
        <f>HYPERLINK("http://data.overheid.nl/data/dataset/punten-groen-rws-dienst-ijsselmeergebied","Punten groen RWS dienst IJsselmeergebied")</f>
        <v>Punten groen RWS dienst IJsselmeergebied</v>
      </c>
      <c r="D856" s="6" t="s">
        <v>17</v>
      </c>
      <c r="E856" s="5" t="s">
        <v>18</v>
      </c>
      <c r="F856" s="6" t="s">
        <v>813</v>
      </c>
      <c r="G856" s="5" t="s">
        <v>285</v>
      </c>
      <c r="H856" s="6" t="s">
        <v>20</v>
      </c>
      <c r="I856" s="5" t="s">
        <v>21</v>
      </c>
      <c r="J856" s="4" t="s">
        <v>22</v>
      </c>
      <c r="K856" s="2" t="s">
        <v>23</v>
      </c>
      <c r="L856" s="6" t="s">
        <v>24</v>
      </c>
      <c r="M856" s="5" t="s">
        <v>25</v>
      </c>
      <c r="N856" s="3" t="s">
        <v>26</v>
      </c>
      <c r="O856" s="5">
        <v>2</v>
      </c>
      <c r="P856" s="3" t="s">
        <v>23</v>
      </c>
      <c r="Q856" s="5"/>
    </row>
    <row r="857" spans="1:17" ht="31">
      <c r="A857" s="5">
        <v>852</v>
      </c>
      <c r="B857" s="6" t="s">
        <v>16</v>
      </c>
      <c r="C857" s="5" t="str">
        <f>HYPERLINK("http://data.overheid.nl/data/dataset/markering-vlakken-rws-dienst-utrecht","markering vlakken RWS dienst Utrecht")</f>
        <v>markering vlakken RWS dienst Utrecht</v>
      </c>
      <c r="D857" s="6" t="s">
        <v>17</v>
      </c>
      <c r="E857" s="5" t="s">
        <v>18</v>
      </c>
      <c r="F857" s="6" t="s">
        <v>813</v>
      </c>
      <c r="G857" s="5" t="s">
        <v>264</v>
      </c>
      <c r="H857" s="6" t="s">
        <v>20</v>
      </c>
      <c r="I857" s="5" t="s">
        <v>21</v>
      </c>
      <c r="J857" s="4" t="s">
        <v>22</v>
      </c>
      <c r="K857" s="2" t="s">
        <v>23</v>
      </c>
      <c r="L857" s="6" t="s">
        <v>24</v>
      </c>
      <c r="M857" s="5" t="s">
        <v>25</v>
      </c>
      <c r="N857" s="3" t="s">
        <v>26</v>
      </c>
      <c r="O857" s="5">
        <v>2</v>
      </c>
      <c r="P857" s="3" t="s">
        <v>23</v>
      </c>
      <c r="Q857" s="5"/>
    </row>
    <row r="858" spans="1:17" ht="31">
      <c r="A858" s="5">
        <v>853</v>
      </c>
      <c r="B858" s="6" t="s">
        <v>16</v>
      </c>
      <c r="C858" s="5" t="str">
        <f>HYPERLINK("http://data.overheid.nl/data/dataset/markering-vlakken-rws-dienst-oost-nederland","markering vlakken RWS dienst Oost-Nederland")</f>
        <v>markering vlakken RWS dienst Oost-Nederland</v>
      </c>
      <c r="D858" s="6" t="s">
        <v>17</v>
      </c>
      <c r="E858" s="5" t="s">
        <v>18</v>
      </c>
      <c r="F858" s="6" t="s">
        <v>813</v>
      </c>
      <c r="G858" s="5" t="s">
        <v>264</v>
      </c>
      <c r="H858" s="6" t="s">
        <v>20</v>
      </c>
      <c r="I858" s="5" t="s">
        <v>21</v>
      </c>
      <c r="J858" s="4" t="s">
        <v>22</v>
      </c>
      <c r="K858" s="2" t="s">
        <v>23</v>
      </c>
      <c r="L858" s="6" t="s">
        <v>24</v>
      </c>
      <c r="M858" s="5" t="s">
        <v>25</v>
      </c>
      <c r="N858" s="3" t="s">
        <v>26</v>
      </c>
      <c r="O858" s="5">
        <v>2</v>
      </c>
      <c r="P858" s="3" t="s">
        <v>23</v>
      </c>
      <c r="Q858" s="5"/>
    </row>
    <row r="859" spans="1:17" ht="31">
      <c r="A859" s="5">
        <v>854</v>
      </c>
      <c r="B859" s="6" t="s">
        <v>16</v>
      </c>
      <c r="C859" s="5" t="str">
        <f>HYPERLINK("http://data.overheid.nl/data/dataset/markering-vlakken-rws-dienst-ijsselmeergebied","markering vlakken RWS dienst IJsselmeergebied")</f>
        <v>markering vlakken RWS dienst IJsselmeergebied</v>
      </c>
      <c r="D859" s="6" t="s">
        <v>17</v>
      </c>
      <c r="E859" s="5" t="s">
        <v>18</v>
      </c>
      <c r="F859" s="6" t="s">
        <v>813</v>
      </c>
      <c r="G859" s="5" t="s">
        <v>264</v>
      </c>
      <c r="H859" s="6" t="s">
        <v>20</v>
      </c>
      <c r="I859" s="5" t="s">
        <v>21</v>
      </c>
      <c r="J859" s="4" t="s">
        <v>22</v>
      </c>
      <c r="K859" s="2" t="s">
        <v>23</v>
      </c>
      <c r="L859" s="6" t="s">
        <v>24</v>
      </c>
      <c r="M859" s="5" t="s">
        <v>25</v>
      </c>
      <c r="N859" s="3" t="s">
        <v>26</v>
      </c>
      <c r="O859" s="5">
        <v>2</v>
      </c>
      <c r="P859" s="3" t="s">
        <v>23</v>
      </c>
      <c r="Q859" s="5"/>
    </row>
    <row r="860" spans="1:17" ht="31">
      <c r="A860" s="5">
        <v>855</v>
      </c>
      <c r="B860" s="6" t="s">
        <v>16</v>
      </c>
      <c r="C860" s="5" t="str">
        <f>HYPERLINK("http://data.overheid.nl/data/dataset/lijnen-wegmeubilair-rws-dienst-utrecht","Lijnen wegmeubilair RWS dienst Utrecht")</f>
        <v>Lijnen wegmeubilair RWS dienst Utrecht</v>
      </c>
      <c r="D860" s="6" t="s">
        <v>17</v>
      </c>
      <c r="E860" s="5" t="s">
        <v>18</v>
      </c>
      <c r="F860" s="6" t="s">
        <v>813</v>
      </c>
      <c r="G860" s="5" t="s">
        <v>265</v>
      </c>
      <c r="H860" s="6" t="s">
        <v>20</v>
      </c>
      <c r="I860" s="5" t="s">
        <v>21</v>
      </c>
      <c r="J860" s="4" t="s">
        <v>22</v>
      </c>
      <c r="K860" s="2" t="s">
        <v>23</v>
      </c>
      <c r="L860" s="6" t="s">
        <v>24</v>
      </c>
      <c r="M860" s="5" t="s">
        <v>25</v>
      </c>
      <c r="N860" s="3" t="s">
        <v>26</v>
      </c>
      <c r="O860" s="5">
        <v>2</v>
      </c>
      <c r="P860" s="3" t="s">
        <v>23</v>
      </c>
      <c r="Q860" s="5"/>
    </row>
    <row r="861" spans="1:17" ht="31">
      <c r="A861" s="5">
        <v>856</v>
      </c>
      <c r="B861" s="6" t="s">
        <v>16</v>
      </c>
      <c r="C861" s="5" t="str">
        <f>HYPERLINK("http://data.overheid.nl/data/dataset/lijnen-wegmeubilair-rws-dienst-oost-nederland","Lijnen wegmeubilair RWS dienst Oost-Nederland")</f>
        <v>Lijnen wegmeubilair RWS dienst Oost-Nederland</v>
      </c>
      <c r="D861" s="6" t="s">
        <v>17</v>
      </c>
      <c r="E861" s="5" t="s">
        <v>18</v>
      </c>
      <c r="F861" s="6" t="s">
        <v>813</v>
      </c>
      <c r="G861" s="5" t="s">
        <v>265</v>
      </c>
      <c r="H861" s="6" t="s">
        <v>20</v>
      </c>
      <c r="I861" s="5" t="s">
        <v>21</v>
      </c>
      <c r="J861" s="4" t="s">
        <v>22</v>
      </c>
      <c r="K861" s="2" t="s">
        <v>23</v>
      </c>
      <c r="L861" s="6" t="s">
        <v>24</v>
      </c>
      <c r="M861" s="5" t="s">
        <v>25</v>
      </c>
      <c r="N861" s="3" t="s">
        <v>26</v>
      </c>
      <c r="O861" s="5">
        <v>2</v>
      </c>
      <c r="P861" s="3" t="s">
        <v>23</v>
      </c>
      <c r="Q861" s="5"/>
    </row>
    <row r="862" spans="1:17" ht="31">
      <c r="A862" s="5">
        <v>857</v>
      </c>
      <c r="B862" s="6" t="s">
        <v>16</v>
      </c>
      <c r="C862" s="5" t="str">
        <f>HYPERLINK("http://data.overheid.nl/data/dataset/lijnen-wegmeubilair-rws-dienst-ijsselmeergebied","Lijnen wegmeubilair RWS dienst IJsselmeergebied")</f>
        <v>Lijnen wegmeubilair RWS dienst IJsselmeergebied</v>
      </c>
      <c r="D862" s="6" t="s">
        <v>17</v>
      </c>
      <c r="E862" s="5" t="s">
        <v>18</v>
      </c>
      <c r="F862" s="6" t="s">
        <v>813</v>
      </c>
      <c r="G862" s="5" t="s">
        <v>265</v>
      </c>
      <c r="H862" s="6" t="s">
        <v>20</v>
      </c>
      <c r="I862" s="5" t="s">
        <v>21</v>
      </c>
      <c r="J862" s="4" t="s">
        <v>22</v>
      </c>
      <c r="K862" s="2" t="s">
        <v>23</v>
      </c>
      <c r="L862" s="6" t="s">
        <v>24</v>
      </c>
      <c r="M862" s="5" t="s">
        <v>25</v>
      </c>
      <c r="N862" s="3" t="s">
        <v>26</v>
      </c>
      <c r="O862" s="5">
        <v>2</v>
      </c>
      <c r="P862" s="3" t="s">
        <v>23</v>
      </c>
      <c r="Q862" s="5"/>
    </row>
    <row r="863" spans="1:17" ht="77.5">
      <c r="A863" s="5">
        <v>858</v>
      </c>
      <c r="B863" s="6" t="s">
        <v>16</v>
      </c>
      <c r="C863" s="5" t="str">
        <f>HYPERLINK("http://data.overheid.nl/data/dataset/lijnen-waterafvoer-rws-dienst-utrecht","Lijnen waterafvoer RWS dienst Utrecht")</f>
        <v>Lijnen waterafvoer RWS dienst Utrecht</v>
      </c>
      <c r="D863" s="6" t="s">
        <v>17</v>
      </c>
      <c r="E863" s="5" t="s">
        <v>18</v>
      </c>
      <c r="F863" s="6" t="s">
        <v>813</v>
      </c>
      <c r="G863" s="2" t="s">
        <v>256</v>
      </c>
      <c r="H863" s="6" t="s">
        <v>20</v>
      </c>
      <c r="I863" s="5" t="s">
        <v>21</v>
      </c>
      <c r="J863" s="4" t="s">
        <v>22</v>
      </c>
      <c r="K863" s="2" t="s">
        <v>23</v>
      </c>
      <c r="L863" s="6" t="s">
        <v>24</v>
      </c>
      <c r="M863" s="5" t="s">
        <v>25</v>
      </c>
      <c r="N863" s="3" t="s">
        <v>26</v>
      </c>
      <c r="O863" s="5">
        <v>2</v>
      </c>
      <c r="P863" s="3" t="s">
        <v>23</v>
      </c>
      <c r="Q863" s="5"/>
    </row>
    <row r="864" spans="1:17" ht="77.5">
      <c r="A864" s="5">
        <v>859</v>
      </c>
      <c r="B864" s="6" t="s">
        <v>16</v>
      </c>
      <c r="C864" s="5" t="str">
        <f>HYPERLINK("http://data.overheid.nl/data/dataset/lijnen-waterafvoer-rws-dienst-oost-nederland","Lijnen waterafvoer RWS dienst Oost-Nederland")</f>
        <v>Lijnen waterafvoer RWS dienst Oost-Nederland</v>
      </c>
      <c r="D864" s="6" t="s">
        <v>17</v>
      </c>
      <c r="E864" s="5" t="s">
        <v>18</v>
      </c>
      <c r="F864" s="6" t="s">
        <v>813</v>
      </c>
      <c r="G864" s="2" t="s">
        <v>256</v>
      </c>
      <c r="H864" s="6" t="s">
        <v>20</v>
      </c>
      <c r="I864" s="5" t="s">
        <v>21</v>
      </c>
      <c r="J864" s="4" t="s">
        <v>22</v>
      </c>
      <c r="K864" s="2" t="s">
        <v>23</v>
      </c>
      <c r="L864" s="6" t="s">
        <v>24</v>
      </c>
      <c r="M864" s="5" t="s">
        <v>25</v>
      </c>
      <c r="N864" s="3" t="s">
        <v>26</v>
      </c>
      <c r="O864" s="5">
        <v>2</v>
      </c>
      <c r="P864" s="3" t="s">
        <v>23</v>
      </c>
      <c r="Q864" s="5"/>
    </row>
    <row r="865" spans="1:17" ht="77.5">
      <c r="A865" s="5">
        <v>860</v>
      </c>
      <c r="B865" s="6" t="s">
        <v>16</v>
      </c>
      <c r="C865" s="5" t="str">
        <f>HYPERLINK("http://data.overheid.nl/data/dataset/lijnen-waterafvoer-rws-dienst-ijsselmeergebied","Lijnen waterafvoer RWS dienst IJsselmeergebied")</f>
        <v>Lijnen waterafvoer RWS dienst IJsselmeergebied</v>
      </c>
      <c r="D865" s="6" t="s">
        <v>17</v>
      </c>
      <c r="E865" s="5" t="s">
        <v>18</v>
      </c>
      <c r="F865" s="6" t="s">
        <v>813</v>
      </c>
      <c r="G865" s="2" t="s">
        <v>256</v>
      </c>
      <c r="H865" s="6" t="s">
        <v>20</v>
      </c>
      <c r="I865" s="5" t="s">
        <v>21</v>
      </c>
      <c r="J865" s="4" t="s">
        <v>22</v>
      </c>
      <c r="K865" s="2" t="s">
        <v>23</v>
      </c>
      <c r="L865" s="6" t="s">
        <v>24</v>
      </c>
      <c r="M865" s="5" t="s">
        <v>25</v>
      </c>
      <c r="N865" s="3" t="s">
        <v>26</v>
      </c>
      <c r="O865" s="5">
        <v>2</v>
      </c>
      <c r="P865" s="3" t="s">
        <v>23</v>
      </c>
      <c r="Q865" s="5"/>
    </row>
    <row r="866" spans="1:17" ht="31">
      <c r="A866" s="5">
        <v>861</v>
      </c>
      <c r="B866" s="6" t="s">
        <v>16</v>
      </c>
      <c r="C866" s="5" t="str">
        <f>HYPERLINK("http://data.overheid.nl/data/dataset/lijnen-openbare-verlichting-rws-dienst-utrecht","Lijnen openbare verlichting RWS dienst Utrecht")</f>
        <v>Lijnen openbare verlichting RWS dienst Utrecht</v>
      </c>
      <c r="D866" s="6" t="s">
        <v>17</v>
      </c>
      <c r="E866" s="5" t="s">
        <v>18</v>
      </c>
      <c r="F866" s="6" t="s">
        <v>813</v>
      </c>
      <c r="G866" s="5" t="s">
        <v>266</v>
      </c>
      <c r="H866" s="6" t="s">
        <v>20</v>
      </c>
      <c r="I866" s="5" t="s">
        <v>21</v>
      </c>
      <c r="J866" s="4" t="s">
        <v>22</v>
      </c>
      <c r="K866" s="2" t="s">
        <v>23</v>
      </c>
      <c r="L866" s="6" t="s">
        <v>24</v>
      </c>
      <c r="M866" s="5" t="s">
        <v>25</v>
      </c>
      <c r="N866" s="3" t="s">
        <v>26</v>
      </c>
      <c r="O866" s="5">
        <v>2</v>
      </c>
      <c r="P866" s="3" t="s">
        <v>23</v>
      </c>
      <c r="Q866" s="5"/>
    </row>
    <row r="867" spans="1:17" ht="31">
      <c r="A867" s="5">
        <v>862</v>
      </c>
      <c r="B867" s="6" t="s">
        <v>16</v>
      </c>
      <c r="C867" s="5" t="str">
        <f>HYPERLINK("http://data.overheid.nl/data/dataset/lijnen-openbare-verlichting-rws-dienst-oost-nederland","Lijnen openbare verlichting RWS dienst Oost-Nederland")</f>
        <v>Lijnen openbare verlichting RWS dienst Oost-Nederland</v>
      </c>
      <c r="D867" s="6" t="s">
        <v>17</v>
      </c>
      <c r="E867" s="5" t="s">
        <v>18</v>
      </c>
      <c r="F867" s="6" t="s">
        <v>813</v>
      </c>
      <c r="G867" s="5" t="s">
        <v>266</v>
      </c>
      <c r="H867" s="6" t="s">
        <v>20</v>
      </c>
      <c r="I867" s="5" t="s">
        <v>21</v>
      </c>
      <c r="J867" s="4" t="s">
        <v>22</v>
      </c>
      <c r="K867" s="2" t="s">
        <v>23</v>
      </c>
      <c r="L867" s="6" t="s">
        <v>24</v>
      </c>
      <c r="M867" s="5" t="s">
        <v>25</v>
      </c>
      <c r="N867" s="3" t="s">
        <v>26</v>
      </c>
      <c r="O867" s="5">
        <v>2</v>
      </c>
      <c r="P867" s="3" t="s">
        <v>23</v>
      </c>
      <c r="Q867" s="5"/>
    </row>
    <row r="868" spans="1:17" ht="31">
      <c r="A868" s="5">
        <v>863</v>
      </c>
      <c r="B868" s="6" t="s">
        <v>16</v>
      </c>
      <c r="C868" s="5" t="str">
        <f>HYPERLINK("http://data.overheid.nl/data/dataset/lijnen-openbare-verlichting-rws-dienst-ijsselmeergebied","Lijnen openbare verlichting RWS dienst IJsselmeergebied")</f>
        <v>Lijnen openbare verlichting RWS dienst IJsselmeergebied</v>
      </c>
      <c r="D868" s="6" t="s">
        <v>17</v>
      </c>
      <c r="E868" s="5" t="s">
        <v>18</v>
      </c>
      <c r="F868" s="6" t="s">
        <v>813</v>
      </c>
      <c r="G868" s="5" t="s">
        <v>266</v>
      </c>
      <c r="H868" s="6" t="s">
        <v>20</v>
      </c>
      <c r="I868" s="5" t="s">
        <v>21</v>
      </c>
      <c r="J868" s="4" t="s">
        <v>22</v>
      </c>
      <c r="K868" s="2" t="s">
        <v>23</v>
      </c>
      <c r="L868" s="6" t="s">
        <v>24</v>
      </c>
      <c r="M868" s="5" t="s">
        <v>25</v>
      </c>
      <c r="N868" s="3" t="s">
        <v>26</v>
      </c>
      <c r="O868" s="5">
        <v>2</v>
      </c>
      <c r="P868" s="3" t="s">
        <v>23</v>
      </c>
      <c r="Q868" s="5"/>
    </row>
    <row r="869" spans="1:17" ht="31">
      <c r="A869" s="5">
        <v>864</v>
      </c>
      <c r="B869" s="6" t="s">
        <v>16</v>
      </c>
      <c r="C869" s="5" t="str">
        <f>HYPERLINK("http://data.overheid.nl/data/dataset/lijnen-markering-rws-dienst-utrecht","Lijnen markering RWS dienst Utrecht")</f>
        <v>Lijnen markering RWS dienst Utrecht</v>
      </c>
      <c r="D869" s="6" t="s">
        <v>17</v>
      </c>
      <c r="E869" s="5" t="s">
        <v>18</v>
      </c>
      <c r="F869" s="6" t="s">
        <v>813</v>
      </c>
      <c r="G869" s="5" t="s">
        <v>286</v>
      </c>
      <c r="H869" s="6" t="s">
        <v>20</v>
      </c>
      <c r="I869" s="5" t="s">
        <v>21</v>
      </c>
      <c r="J869" s="4" t="s">
        <v>22</v>
      </c>
      <c r="K869" s="2" t="s">
        <v>23</v>
      </c>
      <c r="L869" s="6" t="s">
        <v>24</v>
      </c>
      <c r="M869" s="5" t="s">
        <v>25</v>
      </c>
      <c r="N869" s="3" t="s">
        <v>26</v>
      </c>
      <c r="O869" s="5">
        <v>2</v>
      </c>
      <c r="P869" s="3" t="s">
        <v>23</v>
      </c>
      <c r="Q869" s="5"/>
    </row>
    <row r="870" spans="1:17" ht="31">
      <c r="A870" s="5">
        <v>865</v>
      </c>
      <c r="B870" s="6" t="s">
        <v>16</v>
      </c>
      <c r="C870" s="5" t="str">
        <f>HYPERLINK("http://data.overheid.nl/data/dataset/lijnen-markering-rws-dienst-oost-nederland","Lijnen markering RWS dienst Oost-Nederland")</f>
        <v>Lijnen markering RWS dienst Oost-Nederland</v>
      </c>
      <c r="D870" s="6" t="s">
        <v>17</v>
      </c>
      <c r="E870" s="5" t="s">
        <v>18</v>
      </c>
      <c r="F870" s="6" t="s">
        <v>813</v>
      </c>
      <c r="G870" s="5" t="s">
        <v>286</v>
      </c>
      <c r="H870" s="6" t="s">
        <v>20</v>
      </c>
      <c r="I870" s="5" t="s">
        <v>21</v>
      </c>
      <c r="J870" s="4" t="s">
        <v>22</v>
      </c>
      <c r="K870" s="2" t="s">
        <v>23</v>
      </c>
      <c r="L870" s="6" t="s">
        <v>24</v>
      </c>
      <c r="M870" s="5" t="s">
        <v>25</v>
      </c>
      <c r="N870" s="3" t="s">
        <v>26</v>
      </c>
      <c r="O870" s="5">
        <v>2</v>
      </c>
      <c r="P870" s="3" t="s">
        <v>23</v>
      </c>
      <c r="Q870" s="5"/>
    </row>
    <row r="871" spans="1:17" ht="31">
      <c r="A871" s="5">
        <v>866</v>
      </c>
      <c r="B871" s="6" t="s">
        <v>16</v>
      </c>
      <c r="C871" s="5" t="str">
        <f>HYPERLINK("http://data.overheid.nl/data/dataset/lijnen-markering-rws-dienst-ijsselmeergebied","Lijnen markering RWS dienst IJsselmeergebied")</f>
        <v>Lijnen markering RWS dienst IJsselmeergebied</v>
      </c>
      <c r="D871" s="6" t="s">
        <v>17</v>
      </c>
      <c r="E871" s="5" t="s">
        <v>18</v>
      </c>
      <c r="F871" s="6" t="s">
        <v>813</v>
      </c>
      <c r="G871" s="5" t="s">
        <v>286</v>
      </c>
      <c r="H871" s="6" t="s">
        <v>20</v>
      </c>
      <c r="I871" s="5" t="s">
        <v>21</v>
      </c>
      <c r="J871" s="4" t="s">
        <v>22</v>
      </c>
      <c r="K871" s="2" t="s">
        <v>23</v>
      </c>
      <c r="L871" s="6" t="s">
        <v>24</v>
      </c>
      <c r="M871" s="5" t="s">
        <v>25</v>
      </c>
      <c r="N871" s="3" t="s">
        <v>26</v>
      </c>
      <c r="O871" s="5">
        <v>2</v>
      </c>
      <c r="P871" s="3" t="s">
        <v>23</v>
      </c>
      <c r="Q871" s="5"/>
    </row>
    <row r="872" spans="1:17" ht="31">
      <c r="A872" s="5">
        <v>867</v>
      </c>
      <c r="B872" s="6" t="s">
        <v>16</v>
      </c>
      <c r="C872" s="5" t="str">
        <f>HYPERLINK("http://data.overheid.nl/data/dataset/lijnen-kunstwerken-rws-dienst-utrecht","Lijnen kunstwerken RWS dienst Utrecht")</f>
        <v>Lijnen kunstwerken RWS dienst Utrecht</v>
      </c>
      <c r="D872" s="6" t="s">
        <v>17</v>
      </c>
      <c r="E872" s="5" t="s">
        <v>18</v>
      </c>
      <c r="F872" s="6" t="s">
        <v>813</v>
      </c>
      <c r="G872" s="5" t="s">
        <v>267</v>
      </c>
      <c r="H872" s="6" t="s">
        <v>20</v>
      </c>
      <c r="I872" s="5" t="s">
        <v>21</v>
      </c>
      <c r="J872" s="4" t="s">
        <v>22</v>
      </c>
      <c r="K872" s="2" t="s">
        <v>23</v>
      </c>
      <c r="L872" s="6" t="s">
        <v>24</v>
      </c>
      <c r="M872" s="5" t="s">
        <v>25</v>
      </c>
      <c r="N872" s="3" t="s">
        <v>26</v>
      </c>
      <c r="O872" s="5">
        <v>2</v>
      </c>
      <c r="P872" s="3" t="s">
        <v>23</v>
      </c>
      <c r="Q872" s="5"/>
    </row>
    <row r="873" spans="1:17" ht="31">
      <c r="A873" s="5">
        <v>868</v>
      </c>
      <c r="B873" s="6" t="s">
        <v>16</v>
      </c>
      <c r="C873" s="5" t="str">
        <f>HYPERLINK("http://data.overheid.nl/data/dataset/lijnen-kunstwerken-rws-dienst-oost-nederland","Lijnen kunstwerken RWS dienst Oost-Nederland")</f>
        <v>Lijnen kunstwerken RWS dienst Oost-Nederland</v>
      </c>
      <c r="D873" s="6" t="s">
        <v>17</v>
      </c>
      <c r="E873" s="5" t="s">
        <v>18</v>
      </c>
      <c r="F873" s="6" t="s">
        <v>813</v>
      </c>
      <c r="G873" s="5" t="s">
        <v>267</v>
      </c>
      <c r="H873" s="6" t="s">
        <v>20</v>
      </c>
      <c r="I873" s="5" t="s">
        <v>21</v>
      </c>
      <c r="J873" s="4" t="s">
        <v>22</v>
      </c>
      <c r="K873" s="2" t="s">
        <v>23</v>
      </c>
      <c r="L873" s="6" t="s">
        <v>24</v>
      </c>
      <c r="M873" s="5" t="s">
        <v>25</v>
      </c>
      <c r="N873" s="3" t="s">
        <v>26</v>
      </c>
      <c r="O873" s="5">
        <v>2</v>
      </c>
      <c r="P873" s="3" t="s">
        <v>23</v>
      </c>
      <c r="Q873" s="5"/>
    </row>
    <row r="874" spans="1:17" ht="31">
      <c r="A874" s="5">
        <v>869</v>
      </c>
      <c r="B874" s="6" t="s">
        <v>16</v>
      </c>
      <c r="C874" s="5" t="str">
        <f>HYPERLINK("http://data.overheid.nl/data/dataset/lijnen-kunstwerken-rws-dienst-ijsselmeergebied","Lijnen kunstwerken RWS dienst IJsselmeergebied")</f>
        <v>Lijnen kunstwerken RWS dienst IJsselmeergebied</v>
      </c>
      <c r="D874" s="6" t="s">
        <v>17</v>
      </c>
      <c r="E874" s="5" t="s">
        <v>18</v>
      </c>
      <c r="F874" s="6" t="s">
        <v>813</v>
      </c>
      <c r="G874" s="5" t="s">
        <v>267</v>
      </c>
      <c r="H874" s="6" t="s">
        <v>20</v>
      </c>
      <c r="I874" s="5" t="s">
        <v>21</v>
      </c>
      <c r="J874" s="4" t="s">
        <v>22</v>
      </c>
      <c r="K874" s="2" t="s">
        <v>23</v>
      </c>
      <c r="L874" s="6" t="s">
        <v>24</v>
      </c>
      <c r="M874" s="5" t="s">
        <v>25</v>
      </c>
      <c r="N874" s="3" t="s">
        <v>26</v>
      </c>
      <c r="O874" s="5">
        <v>2</v>
      </c>
      <c r="P874" s="3" t="s">
        <v>23</v>
      </c>
      <c r="Q874" s="5"/>
    </row>
    <row r="875" spans="1:17" ht="31">
      <c r="A875" s="5">
        <v>870</v>
      </c>
      <c r="B875" s="6" t="s">
        <v>16</v>
      </c>
      <c r="C875" s="5" t="str">
        <f>HYPERLINK("http://data.overheid.nl/data/dataset/lijnen-groen-rws-dienst-utrecht","Lijnen groen RWS dienst Utrecht")</f>
        <v>Lijnen groen RWS dienst Utrecht</v>
      </c>
      <c r="D875" s="6" t="s">
        <v>17</v>
      </c>
      <c r="E875" s="5" t="s">
        <v>18</v>
      </c>
      <c r="F875" s="6" t="s">
        <v>813</v>
      </c>
      <c r="G875" s="5" t="s">
        <v>287</v>
      </c>
      <c r="H875" s="6" t="s">
        <v>20</v>
      </c>
      <c r="I875" s="5" t="s">
        <v>21</v>
      </c>
      <c r="J875" s="4" t="s">
        <v>22</v>
      </c>
      <c r="K875" s="2" t="s">
        <v>23</v>
      </c>
      <c r="L875" s="6" t="s">
        <v>24</v>
      </c>
      <c r="M875" s="5" t="s">
        <v>25</v>
      </c>
      <c r="N875" s="3" t="s">
        <v>26</v>
      </c>
      <c r="O875" s="5">
        <v>2</v>
      </c>
      <c r="P875" s="3" t="s">
        <v>23</v>
      </c>
      <c r="Q875" s="5"/>
    </row>
    <row r="876" spans="1:17" ht="31">
      <c r="A876" s="5">
        <v>871</v>
      </c>
      <c r="B876" s="6" t="s">
        <v>16</v>
      </c>
      <c r="C876" s="5" t="str">
        <f>HYPERLINK("http://data.overheid.nl/data/dataset/lijnen-groen-rws-dienst-oost-nederland","Lijnen groen RWS dienst Oost-Nederland")</f>
        <v>Lijnen groen RWS dienst Oost-Nederland</v>
      </c>
      <c r="D876" s="6" t="s">
        <v>17</v>
      </c>
      <c r="E876" s="5" t="s">
        <v>18</v>
      </c>
      <c r="F876" s="6" t="s">
        <v>813</v>
      </c>
      <c r="G876" s="5" t="s">
        <v>287</v>
      </c>
      <c r="H876" s="6" t="s">
        <v>20</v>
      </c>
      <c r="I876" s="5" t="s">
        <v>21</v>
      </c>
      <c r="J876" s="4" t="s">
        <v>22</v>
      </c>
      <c r="K876" s="2" t="s">
        <v>23</v>
      </c>
      <c r="L876" s="6" t="s">
        <v>24</v>
      </c>
      <c r="M876" s="5" t="s">
        <v>25</v>
      </c>
      <c r="N876" s="3" t="s">
        <v>26</v>
      </c>
      <c r="O876" s="5">
        <v>2</v>
      </c>
      <c r="P876" s="3" t="s">
        <v>23</v>
      </c>
      <c r="Q876" s="5"/>
    </row>
    <row r="877" spans="1:17" ht="31">
      <c r="A877" s="5">
        <v>872</v>
      </c>
      <c r="B877" s="6" t="s">
        <v>16</v>
      </c>
      <c r="C877" s="5" t="str">
        <f>HYPERLINK("http://data.overheid.nl/data/dataset/lijnen-groen-rws-dienst-noord-nederland","Lijnen groen RWS dienst Noord-Nederland")</f>
        <v>Lijnen groen RWS dienst Noord-Nederland</v>
      </c>
      <c r="D877" s="6" t="s">
        <v>17</v>
      </c>
      <c r="E877" s="5" t="s">
        <v>18</v>
      </c>
      <c r="F877" s="6" t="s">
        <v>813</v>
      </c>
      <c r="G877" s="5" t="s">
        <v>287</v>
      </c>
      <c r="H877" s="6" t="s">
        <v>20</v>
      </c>
      <c r="I877" s="5" t="s">
        <v>21</v>
      </c>
      <c r="J877" s="4" t="s">
        <v>22</v>
      </c>
      <c r="K877" s="2" t="s">
        <v>23</v>
      </c>
      <c r="L877" s="6" t="s">
        <v>24</v>
      </c>
      <c r="M877" s="5" t="s">
        <v>25</v>
      </c>
      <c r="N877" s="3" t="s">
        <v>26</v>
      </c>
      <c r="O877" s="5">
        <v>2</v>
      </c>
      <c r="P877" s="3" t="s">
        <v>23</v>
      </c>
      <c r="Q877" s="5"/>
    </row>
    <row r="878" spans="1:17" ht="31">
      <c r="A878" s="5">
        <v>873</v>
      </c>
      <c r="B878" s="6" t="s">
        <v>16</v>
      </c>
      <c r="C878" s="5" t="str">
        <f>HYPERLINK("http://data.overheid.nl/data/dataset/lijnen-groen-rws-dienst-ijsselmeergebied","Lijnen groen RWS dienst IJsselmeergebied")</f>
        <v>Lijnen groen RWS dienst IJsselmeergebied</v>
      </c>
      <c r="D878" s="6" t="s">
        <v>17</v>
      </c>
      <c r="E878" s="5" t="s">
        <v>18</v>
      </c>
      <c r="F878" s="6" t="s">
        <v>813</v>
      </c>
      <c r="G878" s="5" t="s">
        <v>287</v>
      </c>
      <c r="H878" s="6" t="s">
        <v>20</v>
      </c>
      <c r="I878" s="5" t="s">
        <v>21</v>
      </c>
      <c r="J878" s="4" t="s">
        <v>22</v>
      </c>
      <c r="K878" s="2" t="s">
        <v>23</v>
      </c>
      <c r="L878" s="6" t="s">
        <v>24</v>
      </c>
      <c r="M878" s="5" t="s">
        <v>25</v>
      </c>
      <c r="N878" s="3" t="s">
        <v>26</v>
      </c>
      <c r="O878" s="5">
        <v>2</v>
      </c>
      <c r="P878" s="3" t="s">
        <v>23</v>
      </c>
      <c r="Q878" s="5"/>
    </row>
    <row r="879" spans="1:17" ht="31">
      <c r="A879" s="5">
        <v>874</v>
      </c>
      <c r="B879" s="6" t="s">
        <v>16</v>
      </c>
      <c r="C879" s="5" t="str">
        <f>HYPERLINK("http://data.overheid.nl/data/dataset/lijnen-geleideconstructie-rws-dienst-utrecht","Lijnen geleideconstructie RWS dienst Utrecht")</f>
        <v>Lijnen geleideconstructie RWS dienst Utrecht</v>
      </c>
      <c r="D879" s="6" t="s">
        <v>17</v>
      </c>
      <c r="E879" s="5" t="s">
        <v>18</v>
      </c>
      <c r="F879" s="6" t="s">
        <v>813</v>
      </c>
      <c r="G879" s="5" t="s">
        <v>288</v>
      </c>
      <c r="H879" s="6" t="s">
        <v>20</v>
      </c>
      <c r="I879" s="5" t="s">
        <v>21</v>
      </c>
      <c r="J879" s="4" t="s">
        <v>22</v>
      </c>
      <c r="K879" s="2" t="s">
        <v>23</v>
      </c>
      <c r="L879" s="6" t="s">
        <v>24</v>
      </c>
      <c r="M879" s="5" t="s">
        <v>25</v>
      </c>
      <c r="N879" s="3" t="s">
        <v>26</v>
      </c>
      <c r="O879" s="5">
        <v>2</v>
      </c>
      <c r="P879" s="3" t="s">
        <v>23</v>
      </c>
      <c r="Q879" s="5"/>
    </row>
    <row r="880" spans="1:17" ht="31">
      <c r="A880" s="5">
        <v>875</v>
      </c>
      <c r="B880" s="6" t="s">
        <v>16</v>
      </c>
      <c r="C880" s="5" t="str">
        <f>HYPERLINK("http://data.overheid.nl/data/dataset/lijnen-geleideconstructie-rws-dienst-oost-nederland","Lijnen geleideconstructie RWS dienst Oost-Nederland")</f>
        <v>Lijnen geleideconstructie RWS dienst Oost-Nederland</v>
      </c>
      <c r="D880" s="6" t="s">
        <v>17</v>
      </c>
      <c r="E880" s="5" t="s">
        <v>18</v>
      </c>
      <c r="F880" s="6" t="s">
        <v>813</v>
      </c>
      <c r="G880" s="5" t="s">
        <v>288</v>
      </c>
      <c r="H880" s="6" t="s">
        <v>20</v>
      </c>
      <c r="I880" s="5" t="s">
        <v>21</v>
      </c>
      <c r="J880" s="4" t="s">
        <v>22</v>
      </c>
      <c r="K880" s="2" t="s">
        <v>23</v>
      </c>
      <c r="L880" s="6" t="s">
        <v>24</v>
      </c>
      <c r="M880" s="5" t="s">
        <v>25</v>
      </c>
      <c r="N880" s="3" t="s">
        <v>26</v>
      </c>
      <c r="O880" s="5">
        <v>2</v>
      </c>
      <c r="P880" s="3" t="s">
        <v>23</v>
      </c>
      <c r="Q880" s="5"/>
    </row>
    <row r="881" spans="1:17" ht="31">
      <c r="A881" s="5">
        <v>876</v>
      </c>
      <c r="B881" s="6" t="s">
        <v>16</v>
      </c>
      <c r="C881" s="5" t="str">
        <f>HYPERLINK("http://data.overheid.nl/data/dataset/lijnen-geleideconstructie-rws-dienst-noord-nederland","Lijnen geleideconstructie RWS dienst Noord-Nederland")</f>
        <v>Lijnen geleideconstructie RWS dienst Noord-Nederland</v>
      </c>
      <c r="D881" s="6" t="s">
        <v>17</v>
      </c>
      <c r="E881" s="5" t="s">
        <v>18</v>
      </c>
      <c r="F881" s="6" t="s">
        <v>813</v>
      </c>
      <c r="G881" s="5" t="s">
        <v>288</v>
      </c>
      <c r="H881" s="6" t="s">
        <v>20</v>
      </c>
      <c r="I881" s="5" t="s">
        <v>21</v>
      </c>
      <c r="J881" s="4" t="s">
        <v>22</v>
      </c>
      <c r="K881" s="2" t="s">
        <v>23</v>
      </c>
      <c r="L881" s="6" t="s">
        <v>24</v>
      </c>
      <c r="M881" s="5" t="s">
        <v>25</v>
      </c>
      <c r="N881" s="3" t="s">
        <v>26</v>
      </c>
      <c r="O881" s="5">
        <v>2</v>
      </c>
      <c r="P881" s="3" t="s">
        <v>23</v>
      </c>
      <c r="Q881" s="5"/>
    </row>
    <row r="882" spans="1:17" ht="31">
      <c r="A882" s="5">
        <v>877</v>
      </c>
      <c r="B882" s="6" t="s">
        <v>16</v>
      </c>
      <c r="C882" s="5" t="str">
        <f>HYPERLINK("http://data.overheid.nl/data/dataset/lijnen-geleideconstructie-rws-dienst-ijsselmeergebied","Lijnen geleideconstructie RWS dienst IJsselmeergebied")</f>
        <v>Lijnen geleideconstructie RWS dienst IJsselmeergebied</v>
      </c>
      <c r="D882" s="6" t="s">
        <v>17</v>
      </c>
      <c r="E882" s="5" t="s">
        <v>18</v>
      </c>
      <c r="F882" s="6" t="s">
        <v>813</v>
      </c>
      <c r="G882" s="5" t="s">
        <v>288</v>
      </c>
      <c r="H882" s="6" t="s">
        <v>20</v>
      </c>
      <c r="I882" s="5" t="s">
        <v>21</v>
      </c>
      <c r="J882" s="4" t="s">
        <v>22</v>
      </c>
      <c r="K882" s="2" t="s">
        <v>23</v>
      </c>
      <c r="L882" s="6" t="s">
        <v>24</v>
      </c>
      <c r="M882" s="5" t="s">
        <v>25</v>
      </c>
      <c r="N882" s="3" t="s">
        <v>26</v>
      </c>
      <c r="O882" s="5">
        <v>2</v>
      </c>
      <c r="P882" s="3" t="s">
        <v>23</v>
      </c>
      <c r="Q882" s="5"/>
    </row>
    <row r="883" spans="1:17" ht="31">
      <c r="A883" s="5">
        <v>878</v>
      </c>
      <c r="B883" s="6" t="s">
        <v>16</v>
      </c>
      <c r="C883" s="5" t="str">
        <f>HYPERLINK("http://data.overheid.nl/data/dataset/groenbeheer-vlakken-rws-dienst-utrecht","groenbeheer vlakken RWS dienst Utrecht")</f>
        <v>groenbeheer vlakken RWS dienst Utrecht</v>
      </c>
      <c r="D883" s="6" t="s">
        <v>17</v>
      </c>
      <c r="E883" s="5" t="s">
        <v>18</v>
      </c>
      <c r="F883" s="6" t="s">
        <v>813</v>
      </c>
      <c r="G883" s="5" t="s">
        <v>289</v>
      </c>
      <c r="H883" s="6" t="s">
        <v>20</v>
      </c>
      <c r="I883" s="5" t="s">
        <v>21</v>
      </c>
      <c r="J883" s="4" t="s">
        <v>22</v>
      </c>
      <c r="K883" s="2" t="s">
        <v>23</v>
      </c>
      <c r="L883" s="6" t="s">
        <v>24</v>
      </c>
      <c r="M883" s="5" t="s">
        <v>25</v>
      </c>
      <c r="N883" s="3" t="s">
        <v>26</v>
      </c>
      <c r="O883" s="5">
        <v>2</v>
      </c>
      <c r="P883" s="3" t="s">
        <v>23</v>
      </c>
      <c r="Q883" s="5"/>
    </row>
    <row r="884" spans="1:17" ht="31">
      <c r="A884" s="5">
        <v>879</v>
      </c>
      <c r="B884" s="6" t="s">
        <v>16</v>
      </c>
      <c r="C884" s="5" t="str">
        <f>HYPERLINK("http://data.overheid.nl/data/dataset/groenbeheer-vlakken-rws-dienst-oost-nederland","groenbeheer vlakken RWS dienst Oost-Nederland")</f>
        <v>groenbeheer vlakken RWS dienst Oost-Nederland</v>
      </c>
      <c r="D884" s="6" t="s">
        <v>17</v>
      </c>
      <c r="E884" s="5" t="s">
        <v>18</v>
      </c>
      <c r="F884" s="6" t="s">
        <v>813</v>
      </c>
      <c r="G884" s="5" t="s">
        <v>289</v>
      </c>
      <c r="H884" s="6" t="s">
        <v>20</v>
      </c>
      <c r="I884" s="5" t="s">
        <v>21</v>
      </c>
      <c r="J884" s="4" t="s">
        <v>22</v>
      </c>
      <c r="K884" s="2" t="s">
        <v>23</v>
      </c>
      <c r="L884" s="6" t="s">
        <v>24</v>
      </c>
      <c r="M884" s="5" t="s">
        <v>25</v>
      </c>
      <c r="N884" s="3" t="s">
        <v>26</v>
      </c>
      <c r="O884" s="5">
        <v>2</v>
      </c>
      <c r="P884" s="3" t="s">
        <v>23</v>
      </c>
      <c r="Q884" s="5"/>
    </row>
    <row r="885" spans="1:17" ht="31">
      <c r="A885" s="5">
        <v>880</v>
      </c>
      <c r="B885" s="6" t="s">
        <v>16</v>
      </c>
      <c r="C885" s="5" t="str">
        <f>HYPERLINK("http://data.overheid.nl/data/dataset/groenbeheer-vlakken-rws-dienst-ijsselmeergebied","groenbeheer vlakken RWS dienst IJsselmeergebied")</f>
        <v>groenbeheer vlakken RWS dienst IJsselmeergebied</v>
      </c>
      <c r="D885" s="6" t="s">
        <v>17</v>
      </c>
      <c r="E885" s="5" t="s">
        <v>18</v>
      </c>
      <c r="F885" s="6" t="s">
        <v>813</v>
      </c>
      <c r="G885" s="5" t="s">
        <v>289</v>
      </c>
      <c r="H885" s="6" t="s">
        <v>20</v>
      </c>
      <c r="I885" s="5" t="s">
        <v>21</v>
      </c>
      <c r="J885" s="4" t="s">
        <v>22</v>
      </c>
      <c r="K885" s="2" t="s">
        <v>23</v>
      </c>
      <c r="L885" s="6" t="s">
        <v>24</v>
      </c>
      <c r="M885" s="5" t="s">
        <v>25</v>
      </c>
      <c r="N885" s="3" t="s">
        <v>26</v>
      </c>
      <c r="O885" s="5">
        <v>2</v>
      </c>
      <c r="P885" s="3" t="s">
        <v>23</v>
      </c>
      <c r="Q885" s="5"/>
    </row>
    <row r="886" spans="1:17" ht="46.5">
      <c r="A886" s="5">
        <v>881</v>
      </c>
      <c r="B886" s="6" t="s">
        <v>16</v>
      </c>
      <c r="C886" s="5" t="str">
        <f>HYPERLINK("http://data.overheid.nl/data/dataset/vegwad-oosterschelde-2007-orthofotomozaiek-falsecolor-ecw","VEGWAD_Oosterschelde_2007_orthofotomozaiek_falsecolor_ECW")</f>
        <v>VEGWAD_Oosterschelde_2007_orthofotomozaiek_falsecolor_ECW</v>
      </c>
      <c r="D886" s="6" t="s">
        <v>17</v>
      </c>
      <c r="E886" s="5" t="s">
        <v>18</v>
      </c>
      <c r="F886" s="6" t="s">
        <v>813</v>
      </c>
      <c r="G886" s="5" t="s">
        <v>580</v>
      </c>
      <c r="H886" s="6" t="s">
        <v>20</v>
      </c>
      <c r="I886" s="5" t="s">
        <v>21</v>
      </c>
      <c r="J886" s="4" t="s">
        <v>22</v>
      </c>
      <c r="K886" s="2" t="s">
        <v>23</v>
      </c>
      <c r="L886" s="6" t="s">
        <v>24</v>
      </c>
      <c r="M886" s="5" t="s">
        <v>25</v>
      </c>
      <c r="N886" s="3" t="s">
        <v>26</v>
      </c>
      <c r="O886" s="5">
        <v>2</v>
      </c>
      <c r="P886" s="3" t="s">
        <v>23</v>
      </c>
      <c r="Q886" s="5"/>
    </row>
    <row r="887" spans="1:17" ht="46.5">
      <c r="A887" s="5">
        <v>882</v>
      </c>
      <c r="B887" s="6" t="s">
        <v>16</v>
      </c>
      <c r="C887" s="5" t="str">
        <f>HYPERLINK("http://data.overheid.nl/data/dataset/vegwad-het-zwin-verdronken-zwarte-polder-2007-orthofotomozaiek-falsecolor-ecw","VEGWAD_Het Zwin_Verdronken Zwarte Polder_2007_orthofotomozaiek_falsecolor_ECW")</f>
        <v>VEGWAD_Het Zwin_Verdronken Zwarte Polder_2007_orthofotomozaiek_falsecolor_ECW</v>
      </c>
      <c r="D887" s="6" t="s">
        <v>17</v>
      </c>
      <c r="E887" s="5" t="s">
        <v>18</v>
      </c>
      <c r="F887" s="6" t="s">
        <v>813</v>
      </c>
      <c r="G887" s="5" t="s">
        <v>581</v>
      </c>
      <c r="H887" s="6" t="s">
        <v>20</v>
      </c>
      <c r="I887" s="5" t="s">
        <v>21</v>
      </c>
      <c r="J887" s="4" t="s">
        <v>22</v>
      </c>
      <c r="K887" s="2" t="s">
        <v>23</v>
      </c>
      <c r="L887" s="6" t="s">
        <v>24</v>
      </c>
      <c r="M887" s="5" t="s">
        <v>25</v>
      </c>
      <c r="N887" s="3" t="s">
        <v>26</v>
      </c>
      <c r="O887" s="5">
        <v>2</v>
      </c>
      <c r="P887" s="3" t="s">
        <v>23</v>
      </c>
      <c r="Q887" s="5"/>
    </row>
    <row r="888" spans="1:17" ht="31">
      <c r="A888" s="5">
        <v>883</v>
      </c>
      <c r="B888" s="6" t="s">
        <v>16</v>
      </c>
      <c r="C888" s="5" t="str">
        <f>HYPERLINK("http://data.overheid.nl/data/dataset/krm-marien-bevroren-monitoringsdata","KRM marien bevroren monitoringsdata")</f>
        <v>KRM marien bevroren monitoringsdata</v>
      </c>
      <c r="D888" s="6" t="s">
        <v>17</v>
      </c>
      <c r="E888" s="5" t="s">
        <v>18</v>
      </c>
      <c r="F888" s="6" t="s">
        <v>813</v>
      </c>
      <c r="G888" s="5" t="s">
        <v>582</v>
      </c>
      <c r="H888" s="6" t="s">
        <v>20</v>
      </c>
      <c r="I888" s="5" t="s">
        <v>21</v>
      </c>
      <c r="J888" s="4" t="s">
        <v>22</v>
      </c>
      <c r="K888" s="2" t="s">
        <v>23</v>
      </c>
      <c r="L888" s="6" t="s">
        <v>24</v>
      </c>
      <c r="M888" s="5" t="s">
        <v>25</v>
      </c>
      <c r="N888" s="3" t="s">
        <v>26</v>
      </c>
      <c r="O888" s="5">
        <v>2</v>
      </c>
      <c r="P888" s="3" t="s">
        <v>23</v>
      </c>
      <c r="Q888" s="5"/>
    </row>
    <row r="889" spans="1:17" ht="124">
      <c r="A889" s="5">
        <v>884</v>
      </c>
      <c r="B889" s="6" t="s">
        <v>16</v>
      </c>
      <c r="C889" s="5" t="str">
        <f>HYPERLINK("http://data.overheid.nl/data/dataset/rws-regiogebieden-01","RWS regiogebieden")</f>
        <v>RWS regiogebieden</v>
      </c>
      <c r="D889" s="6" t="s">
        <v>17</v>
      </c>
      <c r="E889" s="5" t="s">
        <v>18</v>
      </c>
      <c r="F889" s="6" t="s">
        <v>813</v>
      </c>
      <c r="G889" s="5" t="s">
        <v>583</v>
      </c>
      <c r="H889" s="6" t="s">
        <v>20</v>
      </c>
      <c r="I889" s="5" t="s">
        <v>21</v>
      </c>
      <c r="J889" s="4" t="s">
        <v>22</v>
      </c>
      <c r="K889" s="2" t="s">
        <v>23</v>
      </c>
      <c r="L889" s="6" t="s">
        <v>24</v>
      </c>
      <c r="M889" s="5" t="s">
        <v>25</v>
      </c>
      <c r="N889" s="3" t="s">
        <v>26</v>
      </c>
      <c r="O889" s="5">
        <v>4</v>
      </c>
      <c r="P889" s="3" t="s">
        <v>23</v>
      </c>
      <c r="Q889" s="5"/>
    </row>
    <row r="890" spans="1:17" ht="31">
      <c r="A890" s="5">
        <v>885</v>
      </c>
      <c r="B890" s="6" t="s">
        <v>16</v>
      </c>
      <c r="C890" s="5" t="str">
        <f>HYPERLINK("http://data.overheid.nl/data/dataset/referentiepunten-geluid","Referentiepunten geluid")</f>
        <v>Referentiepunten geluid</v>
      </c>
      <c r="D890" s="6" t="s">
        <v>17</v>
      </c>
      <c r="E890" s="5" t="s">
        <v>18</v>
      </c>
      <c r="F890" s="6" t="s">
        <v>813</v>
      </c>
      <c r="G890" s="5" t="s">
        <v>584</v>
      </c>
      <c r="H890" s="6" t="s">
        <v>20</v>
      </c>
      <c r="I890" s="5" t="s">
        <v>21</v>
      </c>
      <c r="J890" s="4" t="s">
        <v>22</v>
      </c>
      <c r="K890" s="2" t="s">
        <v>23</v>
      </c>
      <c r="L890" s="6" t="s">
        <v>24</v>
      </c>
      <c r="M890" s="5" t="s">
        <v>25</v>
      </c>
      <c r="N890" s="3" t="s">
        <v>26</v>
      </c>
      <c r="O890" s="5">
        <v>3</v>
      </c>
      <c r="P890" s="3" t="s">
        <v>23</v>
      </c>
      <c r="Q890" s="5"/>
    </row>
    <row r="891" spans="1:17" ht="139.5">
      <c r="A891" s="5">
        <v>886</v>
      </c>
      <c r="B891" s="6" t="s">
        <v>16</v>
      </c>
      <c r="C891" s="5" t="str">
        <f>HYPERLINK("http://data.overheid.nl/data/dataset/nis-bevroren-versie-nationaal-wegen-bestand-spoorwegen","NIS bevroren versie: Nationaal Wegen Bestand Spoorwegen")</f>
        <v>NIS bevroren versie: Nationaal Wegen Bestand Spoorwegen</v>
      </c>
      <c r="D891" s="6" t="s">
        <v>17</v>
      </c>
      <c r="E891" s="5" t="s">
        <v>18</v>
      </c>
      <c r="F891" s="6" t="s">
        <v>813</v>
      </c>
      <c r="G891" s="5" t="s">
        <v>585</v>
      </c>
      <c r="H891" s="6" t="s">
        <v>28</v>
      </c>
      <c r="I891" s="5" t="s">
        <v>21</v>
      </c>
      <c r="J891" s="4" t="s">
        <v>22</v>
      </c>
      <c r="K891" s="2" t="s">
        <v>23</v>
      </c>
      <c r="L891" s="6" t="s">
        <v>24</v>
      </c>
      <c r="M891" s="5" t="s">
        <v>25</v>
      </c>
      <c r="N891" s="3" t="s">
        <v>26</v>
      </c>
      <c r="O891" s="5">
        <v>2</v>
      </c>
      <c r="P891" s="3" t="s">
        <v>23</v>
      </c>
      <c r="Q891" s="5"/>
    </row>
    <row r="892" spans="1:17" ht="31">
      <c r="A892" s="5">
        <v>887</v>
      </c>
      <c r="B892" s="6" t="s">
        <v>16</v>
      </c>
      <c r="C892" s="5" t="str">
        <f>HYPERLINK("http://data.overheid.nl/data/dataset/homogene-wegvakken-geluidregister","Homogene Wegvakken Geluidregister")</f>
        <v>Homogene Wegvakken Geluidregister</v>
      </c>
      <c r="D892" s="6" t="s">
        <v>17</v>
      </c>
      <c r="E892" s="5" t="s">
        <v>18</v>
      </c>
      <c r="F892" s="6" t="s">
        <v>813</v>
      </c>
      <c r="G892" s="5" t="s">
        <v>586</v>
      </c>
      <c r="H892" s="6" t="s">
        <v>20</v>
      </c>
      <c r="I892" s="5" t="s">
        <v>21</v>
      </c>
      <c r="J892" s="4" t="s">
        <v>22</v>
      </c>
      <c r="K892" s="2" t="s">
        <v>23</v>
      </c>
      <c r="L892" s="6" t="s">
        <v>24</v>
      </c>
      <c r="M892" s="5" t="s">
        <v>25</v>
      </c>
      <c r="N892" s="3" t="s">
        <v>26</v>
      </c>
      <c r="O892" s="5">
        <v>2</v>
      </c>
      <c r="P892" s="3" t="s">
        <v>23</v>
      </c>
      <c r="Q892" s="5"/>
    </row>
    <row r="893" spans="1:17" ht="31">
      <c r="A893" s="5">
        <v>888</v>
      </c>
      <c r="B893" s="6" t="s">
        <v>16</v>
      </c>
      <c r="C893" s="5" t="str">
        <f>HYPERLINK("http://data.overheid.nl/data/dataset/geluidafschermende-voorzieningen","Geluidafschermende voorzieningen")</f>
        <v>Geluidafschermende voorzieningen</v>
      </c>
      <c r="D893" s="6" t="s">
        <v>17</v>
      </c>
      <c r="E893" s="5" t="s">
        <v>18</v>
      </c>
      <c r="F893" s="6" t="s">
        <v>813</v>
      </c>
      <c r="G893" s="5" t="s">
        <v>587</v>
      </c>
      <c r="H893" s="6" t="s">
        <v>20</v>
      </c>
      <c r="I893" s="5" t="s">
        <v>21</v>
      </c>
      <c r="J893" s="4" t="s">
        <v>22</v>
      </c>
      <c r="K893" s="2" t="s">
        <v>23</v>
      </c>
      <c r="L893" s="6" t="s">
        <v>24</v>
      </c>
      <c r="M893" s="5" t="s">
        <v>25</v>
      </c>
      <c r="N893" s="3" t="s">
        <v>26</v>
      </c>
      <c r="O893" s="5">
        <v>3</v>
      </c>
      <c r="P893" s="3" t="s">
        <v>23</v>
      </c>
      <c r="Q893" s="5"/>
    </row>
    <row r="894" spans="1:17" ht="108.5">
      <c r="A894" s="5">
        <v>889</v>
      </c>
      <c r="B894" s="6" t="s">
        <v>16</v>
      </c>
      <c r="C894" s="5" t="str">
        <f>HYPERLINK("http://data.overheid.nl/data/dataset/historische-diepte-zee","Historische diepte - zee")</f>
        <v>Historische diepte - zee</v>
      </c>
      <c r="D894" s="6" t="s">
        <v>17</v>
      </c>
      <c r="E894" s="5" t="s">
        <v>18</v>
      </c>
      <c r="F894" s="6" t="s">
        <v>813</v>
      </c>
      <c r="G894" s="5" t="s">
        <v>588</v>
      </c>
      <c r="H894" s="6" t="s">
        <v>20</v>
      </c>
      <c r="I894" s="5" t="s">
        <v>21</v>
      </c>
      <c r="J894" s="4" t="s">
        <v>22</v>
      </c>
      <c r="K894" s="2" t="s">
        <v>23</v>
      </c>
      <c r="L894" s="6" t="s">
        <v>24</v>
      </c>
      <c r="M894" s="5" t="s">
        <v>25</v>
      </c>
      <c r="N894" s="3" t="s">
        <v>26</v>
      </c>
      <c r="O894" s="5">
        <v>1</v>
      </c>
      <c r="P894" s="3" t="s">
        <v>23</v>
      </c>
      <c r="Q894" s="5"/>
    </row>
    <row r="895" spans="1:17" ht="124">
      <c r="A895" s="5">
        <v>890</v>
      </c>
      <c r="B895" s="6" t="s">
        <v>16</v>
      </c>
      <c r="C895" s="5" t="str">
        <f>HYPERLINK("http://data.overheid.nl/data/dataset/historische-diepte-waddenzee","Historische diepte - Waddenzee")</f>
        <v>Historische diepte - Waddenzee</v>
      </c>
      <c r="D895" s="6" t="s">
        <v>17</v>
      </c>
      <c r="E895" s="5" t="s">
        <v>18</v>
      </c>
      <c r="F895" s="6" t="s">
        <v>813</v>
      </c>
      <c r="G895" s="5" t="s">
        <v>589</v>
      </c>
      <c r="H895" s="6" t="s">
        <v>20</v>
      </c>
      <c r="I895" s="5" t="s">
        <v>21</v>
      </c>
      <c r="J895" s="4" t="s">
        <v>22</v>
      </c>
      <c r="K895" s="2" t="s">
        <v>23</v>
      </c>
      <c r="L895" s="6" t="s">
        <v>24</v>
      </c>
      <c r="M895" s="5" t="s">
        <v>25</v>
      </c>
      <c r="N895" s="3" t="s">
        <v>26</v>
      </c>
      <c r="O895" s="5">
        <v>1</v>
      </c>
      <c r="P895" s="3" t="s">
        <v>23</v>
      </c>
      <c r="Q895" s="5"/>
    </row>
    <row r="896" spans="1:17" ht="108.5">
      <c r="A896" s="5">
        <v>891</v>
      </c>
      <c r="B896" s="6" t="s">
        <v>16</v>
      </c>
      <c r="C896" s="5" t="str">
        <f>HYPERLINK("http://data.overheid.nl/data/dataset/historische-diepte-schelden","Historische diepte - Schelden")</f>
        <v>Historische diepte - Schelden</v>
      </c>
      <c r="D896" s="6" t="s">
        <v>17</v>
      </c>
      <c r="E896" s="5" t="s">
        <v>18</v>
      </c>
      <c r="F896" s="6" t="s">
        <v>813</v>
      </c>
      <c r="G896" s="5" t="s">
        <v>590</v>
      </c>
      <c r="H896" s="6" t="s">
        <v>20</v>
      </c>
      <c r="I896" s="5" t="s">
        <v>21</v>
      </c>
      <c r="J896" s="4" t="s">
        <v>22</v>
      </c>
      <c r="K896" s="2" t="s">
        <v>23</v>
      </c>
      <c r="L896" s="6" t="s">
        <v>24</v>
      </c>
      <c r="M896" s="5" t="s">
        <v>25</v>
      </c>
      <c r="N896" s="3" t="s">
        <v>26</v>
      </c>
      <c r="O896" s="5">
        <v>1</v>
      </c>
      <c r="P896" s="3" t="s">
        <v>23</v>
      </c>
      <c r="Q896" s="5"/>
    </row>
    <row r="897" spans="1:17" ht="108.5">
      <c r="A897" s="5">
        <v>892</v>
      </c>
      <c r="B897" s="6" t="s">
        <v>16</v>
      </c>
      <c r="C897" s="5" t="str">
        <f>HYPERLINK("http://data.overheid.nl/data/dataset/historische-diepte-rivieren","Historische diepte - rivieren")</f>
        <v>Historische diepte - rivieren</v>
      </c>
      <c r="D897" s="6" t="s">
        <v>17</v>
      </c>
      <c r="E897" s="5" t="s">
        <v>18</v>
      </c>
      <c r="F897" s="6" t="s">
        <v>813</v>
      </c>
      <c r="G897" s="5" t="s">
        <v>591</v>
      </c>
      <c r="H897" s="6" t="s">
        <v>20</v>
      </c>
      <c r="I897" s="5" t="s">
        <v>21</v>
      </c>
      <c r="J897" s="4" t="s">
        <v>22</v>
      </c>
      <c r="K897" s="2" t="s">
        <v>23</v>
      </c>
      <c r="L897" s="6" t="s">
        <v>24</v>
      </c>
      <c r="M897" s="5" t="s">
        <v>25</v>
      </c>
      <c r="N897" s="3" t="s">
        <v>26</v>
      </c>
      <c r="O897" s="5">
        <v>1</v>
      </c>
      <c r="P897" s="3" t="s">
        <v>23</v>
      </c>
      <c r="Q897" s="5"/>
    </row>
    <row r="898" spans="1:17" ht="124">
      <c r="A898" s="5">
        <v>893</v>
      </c>
      <c r="B898" s="6" t="s">
        <v>16</v>
      </c>
      <c r="C898" s="5" t="str">
        <f>HYPERLINK("http://data.overheid.nl/data/dataset/historische-diepte-kust","Historische diepte - kust")</f>
        <v>Historische diepte - kust</v>
      </c>
      <c r="D898" s="6" t="s">
        <v>17</v>
      </c>
      <c r="E898" s="5" t="s">
        <v>18</v>
      </c>
      <c r="F898" s="6" t="s">
        <v>813</v>
      </c>
      <c r="G898" s="5" t="s">
        <v>592</v>
      </c>
      <c r="H898" s="6" t="s">
        <v>20</v>
      </c>
      <c r="I898" s="5" t="s">
        <v>21</v>
      </c>
      <c r="J898" s="4" t="s">
        <v>22</v>
      </c>
      <c r="K898" s="2" t="s">
        <v>23</v>
      </c>
      <c r="L898" s="6" t="s">
        <v>24</v>
      </c>
      <c r="M898" s="5" t="s">
        <v>25</v>
      </c>
      <c r="N898" s="3" t="s">
        <v>26</v>
      </c>
      <c r="O898" s="5">
        <v>1</v>
      </c>
      <c r="P898" s="3" t="s">
        <v>23</v>
      </c>
      <c r="Q898" s="5"/>
    </row>
    <row r="899" spans="1:17" ht="108.5">
      <c r="A899" s="5">
        <v>894</v>
      </c>
      <c r="B899" s="6" t="s">
        <v>16</v>
      </c>
      <c r="C899" s="5" t="str">
        <f>HYPERLINK("http://data.overheid.nl/data/dataset/historische-diepte-kunstwerken","Historische diepte - kunstwerken")</f>
        <v>Historische diepte - kunstwerken</v>
      </c>
      <c r="D899" s="6" t="s">
        <v>17</v>
      </c>
      <c r="E899" s="5" t="s">
        <v>18</v>
      </c>
      <c r="F899" s="6" t="s">
        <v>813</v>
      </c>
      <c r="G899" s="5" t="s">
        <v>593</v>
      </c>
      <c r="H899" s="6" t="s">
        <v>20</v>
      </c>
      <c r="I899" s="5" t="s">
        <v>21</v>
      </c>
      <c r="J899" s="4" t="s">
        <v>22</v>
      </c>
      <c r="K899" s="2" t="s">
        <v>23</v>
      </c>
      <c r="L899" s="6" t="s">
        <v>24</v>
      </c>
      <c r="M899" s="5" t="s">
        <v>25</v>
      </c>
      <c r="N899" s="3" t="s">
        <v>26</v>
      </c>
      <c r="O899" s="5">
        <v>1</v>
      </c>
      <c r="P899" s="3" t="s">
        <v>23</v>
      </c>
      <c r="Q899" s="5"/>
    </row>
    <row r="900" spans="1:17" ht="310">
      <c r="A900" s="5">
        <v>895</v>
      </c>
      <c r="B900" s="6" t="s">
        <v>16</v>
      </c>
      <c r="C900" s="5" t="str">
        <f>HYPERLINK("http://data.overheid.nl/data/dataset/mirt-2014-vlakken","MIRT 2014 vlakken")</f>
        <v>MIRT 2014 vlakken</v>
      </c>
      <c r="D900" s="6" t="s">
        <v>17</v>
      </c>
      <c r="E900" s="5" t="s">
        <v>18</v>
      </c>
      <c r="F900" s="6" t="s">
        <v>813</v>
      </c>
      <c r="G900" s="5" t="s">
        <v>352</v>
      </c>
      <c r="H900" s="6" t="s">
        <v>20</v>
      </c>
      <c r="I900" s="5" t="s">
        <v>21</v>
      </c>
      <c r="J900" s="4" t="s">
        <v>22</v>
      </c>
      <c r="K900" s="2" t="s">
        <v>23</v>
      </c>
      <c r="L900" s="6" t="s">
        <v>24</v>
      </c>
      <c r="M900" s="5" t="s">
        <v>25</v>
      </c>
      <c r="N900" s="3" t="s">
        <v>26</v>
      </c>
      <c r="O900" s="5">
        <v>6</v>
      </c>
      <c r="P900" s="3" t="s">
        <v>23</v>
      </c>
      <c r="Q900" s="5"/>
    </row>
    <row r="901" spans="1:17" ht="310">
      <c r="A901" s="5">
        <v>896</v>
      </c>
      <c r="B901" s="6" t="s">
        <v>16</v>
      </c>
      <c r="C901" s="5" t="str">
        <f>HYPERLINK("http://data.overheid.nl/data/dataset/mirt-2014-punten","MIRT 2014 punten")</f>
        <v>MIRT 2014 punten</v>
      </c>
      <c r="D901" s="6" t="s">
        <v>17</v>
      </c>
      <c r="E901" s="5" t="s">
        <v>18</v>
      </c>
      <c r="F901" s="6" t="s">
        <v>813</v>
      </c>
      <c r="G901" s="5" t="s">
        <v>594</v>
      </c>
      <c r="H901" s="6" t="s">
        <v>20</v>
      </c>
      <c r="I901" s="5" t="s">
        <v>21</v>
      </c>
      <c r="J901" s="4" t="s">
        <v>22</v>
      </c>
      <c r="K901" s="2" t="s">
        <v>23</v>
      </c>
      <c r="L901" s="6" t="s">
        <v>24</v>
      </c>
      <c r="M901" s="5" t="s">
        <v>25</v>
      </c>
      <c r="N901" s="3" t="s">
        <v>26</v>
      </c>
      <c r="O901" s="5">
        <v>6</v>
      </c>
      <c r="P901" s="3" t="s">
        <v>23</v>
      </c>
      <c r="Q901" s="5"/>
    </row>
    <row r="902" spans="1:17" ht="310">
      <c r="A902" s="5">
        <v>897</v>
      </c>
      <c r="B902" s="6" t="s">
        <v>16</v>
      </c>
      <c r="C902" s="5" t="str">
        <f>HYPERLINK("http://data.overheid.nl/data/dataset/mirt-2014-points-of-interest","MIRT 2014 points of interest")</f>
        <v>MIRT 2014 points of interest</v>
      </c>
      <c r="D902" s="6" t="s">
        <v>17</v>
      </c>
      <c r="E902" s="5" t="s">
        <v>18</v>
      </c>
      <c r="F902" s="6" t="s">
        <v>813</v>
      </c>
      <c r="G902" s="5" t="s">
        <v>594</v>
      </c>
      <c r="H902" s="6" t="s">
        <v>20</v>
      </c>
      <c r="I902" s="5" t="s">
        <v>21</v>
      </c>
      <c r="J902" s="4" t="s">
        <v>22</v>
      </c>
      <c r="K902" s="2" t="s">
        <v>23</v>
      </c>
      <c r="L902" s="6" t="s">
        <v>24</v>
      </c>
      <c r="M902" s="5" t="s">
        <v>25</v>
      </c>
      <c r="N902" s="3" t="s">
        <v>26</v>
      </c>
      <c r="O902" s="5">
        <v>6</v>
      </c>
      <c r="P902" s="3" t="s">
        <v>23</v>
      </c>
      <c r="Q902" s="5"/>
    </row>
    <row r="903" spans="1:17" ht="310">
      <c r="A903" s="5">
        <v>898</v>
      </c>
      <c r="B903" s="6" t="s">
        <v>16</v>
      </c>
      <c r="C903" s="5" t="str">
        <f>HYPERLINK("http://data.overheid.nl/data/dataset/mirt-2013-vlakken","MIRT 2013 vlakken")</f>
        <v>MIRT 2013 vlakken</v>
      </c>
      <c r="D903" s="6" t="s">
        <v>17</v>
      </c>
      <c r="E903" s="5" t="s">
        <v>18</v>
      </c>
      <c r="F903" s="6" t="s">
        <v>813</v>
      </c>
      <c r="G903" s="5" t="s">
        <v>595</v>
      </c>
      <c r="H903" s="6" t="s">
        <v>20</v>
      </c>
      <c r="I903" s="5" t="s">
        <v>21</v>
      </c>
      <c r="J903" s="4" t="s">
        <v>22</v>
      </c>
      <c r="K903" s="2" t="s">
        <v>23</v>
      </c>
      <c r="L903" s="6" t="s">
        <v>24</v>
      </c>
      <c r="M903" s="5" t="s">
        <v>25</v>
      </c>
      <c r="N903" s="3" t="s">
        <v>26</v>
      </c>
      <c r="O903" s="5">
        <v>6</v>
      </c>
      <c r="P903" s="3" t="s">
        <v>23</v>
      </c>
      <c r="Q903" s="5"/>
    </row>
    <row r="904" spans="1:17" ht="310">
      <c r="A904" s="5">
        <v>899</v>
      </c>
      <c r="B904" s="6" t="s">
        <v>16</v>
      </c>
      <c r="C904" s="5" t="str">
        <f>HYPERLINK("http://data.overheid.nl/data/dataset/mirt-2013-punten","MIRT 2013 punten")</f>
        <v>MIRT 2013 punten</v>
      </c>
      <c r="D904" s="6" t="s">
        <v>17</v>
      </c>
      <c r="E904" s="5" t="s">
        <v>18</v>
      </c>
      <c r="F904" s="6" t="s">
        <v>813</v>
      </c>
      <c r="G904" s="5" t="s">
        <v>596</v>
      </c>
      <c r="H904" s="6" t="s">
        <v>20</v>
      </c>
      <c r="I904" s="5" t="s">
        <v>21</v>
      </c>
      <c r="J904" s="4" t="s">
        <v>22</v>
      </c>
      <c r="K904" s="2" t="s">
        <v>23</v>
      </c>
      <c r="L904" s="6" t="s">
        <v>24</v>
      </c>
      <c r="M904" s="5" t="s">
        <v>25</v>
      </c>
      <c r="N904" s="3" t="s">
        <v>26</v>
      </c>
      <c r="O904" s="5">
        <v>6</v>
      </c>
      <c r="P904" s="3" t="s">
        <v>23</v>
      </c>
      <c r="Q904" s="5"/>
    </row>
    <row r="905" spans="1:17" ht="310">
      <c r="A905" s="5">
        <v>900</v>
      </c>
      <c r="B905" s="6" t="s">
        <v>16</v>
      </c>
      <c r="C905" s="5" t="str">
        <f>HYPERLINK("http://data.overheid.nl/data/dataset/mirt-2013-points-of-interest","MIRT 2013 points of interest")</f>
        <v>MIRT 2013 points of interest</v>
      </c>
      <c r="D905" s="6" t="s">
        <v>17</v>
      </c>
      <c r="E905" s="5" t="s">
        <v>18</v>
      </c>
      <c r="F905" s="6" t="s">
        <v>813</v>
      </c>
      <c r="G905" s="5" t="s">
        <v>596</v>
      </c>
      <c r="H905" s="6" t="s">
        <v>20</v>
      </c>
      <c r="I905" s="5" t="s">
        <v>21</v>
      </c>
      <c r="J905" s="4" t="s">
        <v>22</v>
      </c>
      <c r="K905" s="2" t="s">
        <v>23</v>
      </c>
      <c r="L905" s="6" t="s">
        <v>24</v>
      </c>
      <c r="M905" s="5" t="s">
        <v>25</v>
      </c>
      <c r="N905" s="3" t="s">
        <v>26</v>
      </c>
      <c r="O905" s="5">
        <v>6</v>
      </c>
      <c r="P905" s="3" t="s">
        <v>23</v>
      </c>
      <c r="Q905" s="5"/>
    </row>
    <row r="906" spans="1:17" ht="310">
      <c r="A906" s="5">
        <v>901</v>
      </c>
      <c r="B906" s="6" t="s">
        <v>16</v>
      </c>
      <c r="C906" s="5" t="str">
        <f>HYPERLINK("http://data.overheid.nl/data/dataset/mirt-2013-lijnen","MIRT 2013 lijnen")</f>
        <v>MIRT 2013 lijnen</v>
      </c>
      <c r="D906" s="6" t="s">
        <v>17</v>
      </c>
      <c r="E906" s="5" t="s">
        <v>18</v>
      </c>
      <c r="F906" s="6" t="s">
        <v>813</v>
      </c>
      <c r="G906" s="5" t="s">
        <v>595</v>
      </c>
      <c r="H906" s="6" t="s">
        <v>20</v>
      </c>
      <c r="I906" s="5" t="s">
        <v>21</v>
      </c>
      <c r="J906" s="4" t="s">
        <v>22</v>
      </c>
      <c r="K906" s="2" t="s">
        <v>23</v>
      </c>
      <c r="L906" s="6" t="s">
        <v>24</v>
      </c>
      <c r="M906" s="5" t="s">
        <v>25</v>
      </c>
      <c r="N906" s="3" t="s">
        <v>26</v>
      </c>
      <c r="O906" s="5">
        <v>6</v>
      </c>
      <c r="P906" s="3" t="s">
        <v>23</v>
      </c>
      <c r="Q906" s="5"/>
    </row>
    <row r="907" spans="1:17" ht="310">
      <c r="A907" s="5">
        <v>902</v>
      </c>
      <c r="B907" s="6" t="s">
        <v>16</v>
      </c>
      <c r="C907" s="5" t="str">
        <f>HYPERLINK("http://data.overheid.nl/data/dataset/mirt-2012-vlakken","MIRT 2012 vlakken")</f>
        <v>MIRT 2012 vlakken</v>
      </c>
      <c r="D907" s="6" t="s">
        <v>17</v>
      </c>
      <c r="E907" s="5" t="s">
        <v>18</v>
      </c>
      <c r="F907" s="6" t="s">
        <v>813</v>
      </c>
      <c r="G907" s="5" t="s">
        <v>597</v>
      </c>
      <c r="H907" s="6" t="s">
        <v>20</v>
      </c>
      <c r="I907" s="5" t="s">
        <v>21</v>
      </c>
      <c r="J907" s="4" t="s">
        <v>22</v>
      </c>
      <c r="K907" s="2" t="s">
        <v>23</v>
      </c>
      <c r="L907" s="6" t="s">
        <v>24</v>
      </c>
      <c r="M907" s="5" t="s">
        <v>25</v>
      </c>
      <c r="N907" s="3" t="s">
        <v>26</v>
      </c>
      <c r="O907" s="5">
        <v>6</v>
      </c>
      <c r="P907" s="3" t="s">
        <v>23</v>
      </c>
      <c r="Q907" s="5"/>
    </row>
    <row r="908" spans="1:17" ht="310">
      <c r="A908" s="5">
        <v>903</v>
      </c>
      <c r="B908" s="6" t="s">
        <v>16</v>
      </c>
      <c r="C908" s="5" t="str">
        <f>HYPERLINK("http://data.overheid.nl/data/dataset/mirt-2012-punten","MIRT 2012 punten")</f>
        <v>MIRT 2012 punten</v>
      </c>
      <c r="D908" s="6" t="s">
        <v>17</v>
      </c>
      <c r="E908" s="5" t="s">
        <v>18</v>
      </c>
      <c r="F908" s="6" t="s">
        <v>813</v>
      </c>
      <c r="G908" s="5" t="s">
        <v>598</v>
      </c>
      <c r="H908" s="6" t="s">
        <v>20</v>
      </c>
      <c r="I908" s="5" t="s">
        <v>21</v>
      </c>
      <c r="J908" s="4" t="s">
        <v>22</v>
      </c>
      <c r="K908" s="2" t="s">
        <v>23</v>
      </c>
      <c r="L908" s="6" t="s">
        <v>24</v>
      </c>
      <c r="M908" s="5" t="s">
        <v>25</v>
      </c>
      <c r="N908" s="3" t="s">
        <v>26</v>
      </c>
      <c r="O908" s="5">
        <v>6</v>
      </c>
      <c r="P908" s="3" t="s">
        <v>23</v>
      </c>
      <c r="Q908" s="5"/>
    </row>
    <row r="909" spans="1:17" ht="310">
      <c r="A909" s="5">
        <v>904</v>
      </c>
      <c r="B909" s="6" t="s">
        <v>16</v>
      </c>
      <c r="C909" s="5" t="str">
        <f>HYPERLINK("http://data.overheid.nl/data/dataset/mirt-2012-points-of-interest","MIRT 2012 points of interest")</f>
        <v>MIRT 2012 points of interest</v>
      </c>
      <c r="D909" s="6" t="s">
        <v>17</v>
      </c>
      <c r="E909" s="5" t="s">
        <v>18</v>
      </c>
      <c r="F909" s="6" t="s">
        <v>813</v>
      </c>
      <c r="G909" s="5" t="s">
        <v>598</v>
      </c>
      <c r="H909" s="6" t="s">
        <v>20</v>
      </c>
      <c r="I909" s="5" t="s">
        <v>21</v>
      </c>
      <c r="J909" s="4" t="s">
        <v>22</v>
      </c>
      <c r="K909" s="2" t="s">
        <v>23</v>
      </c>
      <c r="L909" s="6" t="s">
        <v>24</v>
      </c>
      <c r="M909" s="5" t="s">
        <v>25</v>
      </c>
      <c r="N909" s="3" t="s">
        <v>26</v>
      </c>
      <c r="O909" s="5">
        <v>6</v>
      </c>
      <c r="P909" s="3" t="s">
        <v>23</v>
      </c>
      <c r="Q909" s="5"/>
    </row>
    <row r="910" spans="1:17" ht="310">
      <c r="A910" s="5">
        <v>905</v>
      </c>
      <c r="B910" s="6" t="s">
        <v>16</v>
      </c>
      <c r="C910" s="5" t="str">
        <f>HYPERLINK("http://data.overheid.nl/data/dataset/mirt-2012-lijnen","MIRT 2012 lijnen")</f>
        <v>MIRT 2012 lijnen</v>
      </c>
      <c r="D910" s="6" t="s">
        <v>17</v>
      </c>
      <c r="E910" s="5" t="s">
        <v>18</v>
      </c>
      <c r="F910" s="6" t="s">
        <v>813</v>
      </c>
      <c r="G910" s="5" t="s">
        <v>597</v>
      </c>
      <c r="H910" s="6" t="s">
        <v>20</v>
      </c>
      <c r="I910" s="5" t="s">
        <v>21</v>
      </c>
      <c r="J910" s="4" t="s">
        <v>22</v>
      </c>
      <c r="K910" s="2" t="s">
        <v>23</v>
      </c>
      <c r="L910" s="6" t="s">
        <v>24</v>
      </c>
      <c r="M910" s="5" t="s">
        <v>25</v>
      </c>
      <c r="N910" s="3" t="s">
        <v>26</v>
      </c>
      <c r="O910" s="5">
        <v>6</v>
      </c>
      <c r="P910" s="3" t="s">
        <v>23</v>
      </c>
      <c r="Q910" s="5"/>
    </row>
    <row r="911" spans="1:17" ht="31">
      <c r="A911" s="5">
        <v>906</v>
      </c>
      <c r="B911" s="6" t="s">
        <v>16</v>
      </c>
      <c r="C911" s="5" t="str">
        <f>HYPERLINK("http://data.overheid.nl/data/dataset/zuid-holland-uitzondering-vlak-vaarweg-123-2010","Zuid-Holland uitzondering vlak vaarweg 123 2010")</f>
        <v>Zuid-Holland uitzondering vlak vaarweg 123 2010</v>
      </c>
      <c r="D911" s="6" t="s">
        <v>17</v>
      </c>
      <c r="E911" s="5" t="s">
        <v>18</v>
      </c>
      <c r="F911" s="6" t="s">
        <v>813</v>
      </c>
      <c r="G911" s="5" t="s">
        <v>599</v>
      </c>
      <c r="H911" s="6" t="s">
        <v>20</v>
      </c>
      <c r="I911" s="5" t="s">
        <v>21</v>
      </c>
      <c r="J911" s="4" t="s">
        <v>22</v>
      </c>
      <c r="K911" s="2" t="s">
        <v>23</v>
      </c>
      <c r="L911" s="6" t="s">
        <v>24</v>
      </c>
      <c r="M911" s="5" t="s">
        <v>25</v>
      </c>
      <c r="N911" s="3" t="s">
        <v>26</v>
      </c>
      <c r="O911" s="5">
        <v>2</v>
      </c>
      <c r="P911" s="3" t="s">
        <v>23</v>
      </c>
      <c r="Q911" s="5"/>
    </row>
    <row r="912" spans="1:17" ht="31">
      <c r="A912" s="5">
        <v>907</v>
      </c>
      <c r="B912" s="6" t="s">
        <v>16</v>
      </c>
      <c r="C912" s="5" t="str">
        <f>HYPERLINK("http://data.overheid.nl/data/dataset/zuid-holland-uitzondering-punt-vaarweg-123-2010","Zuid-Holland uitzondering punt vaarweg 123 2010")</f>
        <v>Zuid-Holland uitzondering punt vaarweg 123 2010</v>
      </c>
      <c r="D912" s="6" t="s">
        <v>17</v>
      </c>
      <c r="E912" s="5" t="s">
        <v>18</v>
      </c>
      <c r="F912" s="6" t="s">
        <v>813</v>
      </c>
      <c r="G912" s="5" t="s">
        <v>600</v>
      </c>
      <c r="H912" s="6" t="s">
        <v>20</v>
      </c>
      <c r="I912" s="5" t="s">
        <v>21</v>
      </c>
      <c r="J912" s="4" t="s">
        <v>22</v>
      </c>
      <c r="K912" s="2" t="s">
        <v>23</v>
      </c>
      <c r="L912" s="6" t="s">
        <v>24</v>
      </c>
      <c r="M912" s="5" t="s">
        <v>25</v>
      </c>
      <c r="N912" s="3" t="s">
        <v>26</v>
      </c>
      <c r="O912" s="5">
        <v>2</v>
      </c>
      <c r="P912" s="3" t="s">
        <v>23</v>
      </c>
      <c r="Q912" s="5"/>
    </row>
    <row r="913" spans="1:17" ht="31">
      <c r="A913" s="5">
        <v>908</v>
      </c>
      <c r="B913" s="6" t="s">
        <v>16</v>
      </c>
      <c r="C913" s="5" t="str">
        <f>HYPERLINK("http://data.overheid.nl/data/dataset/zuid-holland-uitzondering-lijn-vaarweg-123-2010","Zuid-Holland uitzondering lijn vaarweg 123 2010")</f>
        <v>Zuid-Holland uitzondering lijn vaarweg 123 2010</v>
      </c>
      <c r="D913" s="6" t="s">
        <v>17</v>
      </c>
      <c r="E913" s="5" t="s">
        <v>18</v>
      </c>
      <c r="F913" s="6" t="s">
        <v>813</v>
      </c>
      <c r="G913" s="5" t="s">
        <v>600</v>
      </c>
      <c r="H913" s="6" t="s">
        <v>20</v>
      </c>
      <c r="I913" s="5" t="s">
        <v>21</v>
      </c>
      <c r="J913" s="4" t="s">
        <v>22</v>
      </c>
      <c r="K913" s="2" t="s">
        <v>23</v>
      </c>
      <c r="L913" s="6" t="s">
        <v>24</v>
      </c>
      <c r="M913" s="5" t="s">
        <v>25</v>
      </c>
      <c r="N913" s="3" t="s">
        <v>26</v>
      </c>
      <c r="O913" s="5">
        <v>2</v>
      </c>
      <c r="P913" s="3" t="s">
        <v>23</v>
      </c>
      <c r="Q913" s="5"/>
    </row>
    <row r="914" spans="1:17" ht="31">
      <c r="A914" s="5">
        <v>909</v>
      </c>
      <c r="B914" s="6" t="s">
        <v>16</v>
      </c>
      <c r="C914" s="5" t="str">
        <f>HYPERLINK("http://data.overheid.nl/data/dataset/zuid-holland-status-stroomlijngebieden-2010","Zuid-Holland status stroomlijngebieden 2010")</f>
        <v>Zuid-Holland status stroomlijngebieden 2010</v>
      </c>
      <c r="D914" s="6" t="s">
        <v>17</v>
      </c>
      <c r="E914" s="5" t="s">
        <v>18</v>
      </c>
      <c r="F914" s="6" t="s">
        <v>813</v>
      </c>
      <c r="G914" s="5" t="s">
        <v>601</v>
      </c>
      <c r="H914" s="6" t="s">
        <v>20</v>
      </c>
      <c r="I914" s="5" t="s">
        <v>21</v>
      </c>
      <c r="J914" s="4" t="s">
        <v>22</v>
      </c>
      <c r="K914" s="2" t="s">
        <v>23</v>
      </c>
      <c r="L914" s="6" t="s">
        <v>24</v>
      </c>
      <c r="M914" s="5" t="s">
        <v>25</v>
      </c>
      <c r="N914" s="3" t="s">
        <v>26</v>
      </c>
      <c r="O914" s="5">
        <v>2</v>
      </c>
      <c r="P914" s="3" t="s">
        <v>23</v>
      </c>
      <c r="Q914" s="5"/>
    </row>
    <row r="915" spans="1:17" ht="31">
      <c r="A915" s="5">
        <v>910</v>
      </c>
      <c r="B915" s="6" t="s">
        <v>16</v>
      </c>
      <c r="C915" s="5" t="str">
        <f>HYPERLINK("http://data.overheid.nl/data/dataset/zuid-holland-recreatief-gras-vaarweg-123-2010","Zuid-Holland recreatief gras vaarweg 123 2010")</f>
        <v>Zuid-Holland recreatief gras vaarweg 123 2010</v>
      </c>
      <c r="D915" s="6" t="s">
        <v>17</v>
      </c>
      <c r="E915" s="5" t="s">
        <v>18</v>
      </c>
      <c r="F915" s="6" t="s">
        <v>813</v>
      </c>
      <c r="G915" s="5" t="s">
        <v>602</v>
      </c>
      <c r="H915" s="6" t="s">
        <v>20</v>
      </c>
      <c r="I915" s="5" t="s">
        <v>21</v>
      </c>
      <c r="J915" s="9" t="s">
        <v>305</v>
      </c>
      <c r="K915" s="2" t="s">
        <v>23</v>
      </c>
      <c r="L915" s="6" t="s">
        <v>24</v>
      </c>
      <c r="M915" s="5" t="s">
        <v>25</v>
      </c>
      <c r="N915" s="3" t="s">
        <v>26</v>
      </c>
      <c r="O915" s="5">
        <v>2</v>
      </c>
      <c r="P915" s="3" t="s">
        <v>23</v>
      </c>
      <c r="Q915" s="5"/>
    </row>
    <row r="916" spans="1:17" ht="31">
      <c r="A916" s="5">
        <v>911</v>
      </c>
      <c r="B916" s="6" t="s">
        <v>16</v>
      </c>
      <c r="C916" s="5" t="str">
        <f>HYPERLINK("http://data.overheid.nl/data/dataset/zuid-holland-contractpunten-vaarweg-123-2010","Zuid-Holland contractpunten vaarweg 123 2010")</f>
        <v>Zuid-Holland contractpunten vaarweg 123 2010</v>
      </c>
      <c r="D916" s="6" t="s">
        <v>17</v>
      </c>
      <c r="E916" s="5" t="s">
        <v>18</v>
      </c>
      <c r="F916" s="6" t="s">
        <v>813</v>
      </c>
      <c r="G916" s="5" t="s">
        <v>603</v>
      </c>
      <c r="H916" s="6" t="s">
        <v>20</v>
      </c>
      <c r="I916" s="5" t="s">
        <v>21</v>
      </c>
      <c r="J916" s="9" t="s">
        <v>305</v>
      </c>
      <c r="K916" s="2" t="s">
        <v>23</v>
      </c>
      <c r="L916" s="6" t="s">
        <v>24</v>
      </c>
      <c r="M916" s="5" t="s">
        <v>25</v>
      </c>
      <c r="N916" s="3" t="s">
        <v>26</v>
      </c>
      <c r="O916" s="5">
        <v>2</v>
      </c>
      <c r="P916" s="3" t="s">
        <v>23</v>
      </c>
      <c r="Q916" s="5"/>
    </row>
    <row r="917" spans="1:17" ht="31">
      <c r="A917" s="5">
        <v>912</v>
      </c>
      <c r="B917" s="6" t="s">
        <v>16</v>
      </c>
      <c r="C917" s="5" t="str">
        <f>HYPERLINK("http://data.overheid.nl/data/dataset/zuid-holland-contractlijnen-vaarweg-123-2010","Zuid-Holland contractlijnen vaarweg 123 2010")</f>
        <v>Zuid-Holland contractlijnen vaarweg 123 2010</v>
      </c>
      <c r="D917" s="6" t="s">
        <v>17</v>
      </c>
      <c r="E917" s="5" t="s">
        <v>18</v>
      </c>
      <c r="F917" s="6" t="s">
        <v>813</v>
      </c>
      <c r="G917" s="5" t="s">
        <v>604</v>
      </c>
      <c r="H917" s="6" t="s">
        <v>20</v>
      </c>
      <c r="I917" s="5" t="s">
        <v>21</v>
      </c>
      <c r="J917" s="9" t="s">
        <v>305</v>
      </c>
      <c r="K917" s="2" t="s">
        <v>23</v>
      </c>
      <c r="L917" s="6" t="s">
        <v>24</v>
      </c>
      <c r="M917" s="5" t="s">
        <v>25</v>
      </c>
      <c r="N917" s="3" t="s">
        <v>26</v>
      </c>
      <c r="O917" s="5">
        <v>2</v>
      </c>
      <c r="P917" s="3" t="s">
        <v>23</v>
      </c>
      <c r="Q917" s="5"/>
    </row>
    <row r="918" spans="1:17" ht="31">
      <c r="A918" s="5">
        <v>913</v>
      </c>
      <c r="B918" s="6" t="s">
        <v>16</v>
      </c>
      <c r="C918" s="5" t="str">
        <f>HYPERLINK("http://data.overheid.nl/data/dataset/zuid-holland-contractgrens-vaarweg-123-2010","Zuid-Holland contractgrens vaarweg 123 2010")</f>
        <v>Zuid-Holland contractgrens vaarweg 123 2010</v>
      </c>
      <c r="D918" s="6" t="s">
        <v>17</v>
      </c>
      <c r="E918" s="5" t="s">
        <v>18</v>
      </c>
      <c r="F918" s="6" t="s">
        <v>813</v>
      </c>
      <c r="G918" s="5" t="s">
        <v>605</v>
      </c>
      <c r="H918" s="6" t="s">
        <v>20</v>
      </c>
      <c r="I918" s="5" t="s">
        <v>21</v>
      </c>
      <c r="J918" s="9" t="s">
        <v>305</v>
      </c>
      <c r="K918" s="2" t="s">
        <v>23</v>
      </c>
      <c r="L918" s="6" t="s">
        <v>24</v>
      </c>
      <c r="M918" s="5" t="s">
        <v>25</v>
      </c>
      <c r="N918" s="3" t="s">
        <v>26</v>
      </c>
      <c r="O918" s="5">
        <v>2</v>
      </c>
      <c r="P918" s="3" t="s">
        <v>23</v>
      </c>
      <c r="Q918" s="5"/>
    </row>
    <row r="919" spans="1:17" ht="31">
      <c r="A919" s="5">
        <v>914</v>
      </c>
      <c r="B919" s="6" t="s">
        <v>16</v>
      </c>
      <c r="C919" s="5" t="str">
        <f>HYPERLINK("http://data.overheid.nl/data/dataset/locaties-helicopterfotos-08-2008","Locaties helicopterfotos 08-2008")</f>
        <v>Locaties helicopterfotos 08-2008</v>
      </c>
      <c r="D919" s="6" t="s">
        <v>17</v>
      </c>
      <c r="E919" s="5" t="s">
        <v>18</v>
      </c>
      <c r="F919" s="6" t="s">
        <v>813</v>
      </c>
      <c r="G919" s="5" t="s">
        <v>606</v>
      </c>
      <c r="H919" s="6" t="s">
        <v>20</v>
      </c>
      <c r="I919" s="5" t="s">
        <v>21</v>
      </c>
      <c r="J919" s="4" t="s">
        <v>22</v>
      </c>
      <c r="K919" s="2" t="s">
        <v>23</v>
      </c>
      <c r="L919" s="6" t="s">
        <v>24</v>
      </c>
      <c r="M919" s="5" t="s">
        <v>25</v>
      </c>
      <c r="N919" s="3" t="s">
        <v>26</v>
      </c>
      <c r="O919" s="5">
        <v>2</v>
      </c>
      <c r="P919" s="3" t="s">
        <v>23</v>
      </c>
      <c r="Q919" s="5"/>
    </row>
    <row r="920" spans="1:17" ht="77.5">
      <c r="A920" s="5">
        <v>915</v>
      </c>
      <c r="B920" s="6" t="s">
        <v>16</v>
      </c>
      <c r="C920" s="5" t="str">
        <f>HYPERLINK("http://data.overheid.nl/data/dataset/landcontouren-europa","Landcontouren Europa")</f>
        <v>Landcontouren Europa</v>
      </c>
      <c r="D920" s="6" t="s">
        <v>17</v>
      </c>
      <c r="E920" s="5" t="s">
        <v>18</v>
      </c>
      <c r="F920" s="6" t="s">
        <v>813</v>
      </c>
      <c r="G920" s="5" t="s">
        <v>607</v>
      </c>
      <c r="H920" s="6" t="s">
        <v>20</v>
      </c>
      <c r="I920" s="5" t="s">
        <v>21</v>
      </c>
      <c r="J920" s="4" t="s">
        <v>22</v>
      </c>
      <c r="K920" s="2" t="s">
        <v>23</v>
      </c>
      <c r="L920" s="6" t="s">
        <v>24</v>
      </c>
      <c r="M920" s="5" t="s">
        <v>25</v>
      </c>
      <c r="N920" s="3" t="s">
        <v>26</v>
      </c>
      <c r="O920" s="5">
        <v>24</v>
      </c>
      <c r="P920" s="3" t="s">
        <v>23</v>
      </c>
      <c r="Q920" s="5"/>
    </row>
    <row r="921" spans="1:17" ht="46.5">
      <c r="A921" s="5">
        <v>916</v>
      </c>
      <c r="B921" s="6" t="s">
        <v>16</v>
      </c>
      <c r="C921" s="5" t="str">
        <f>HYPERLINK("http://data.overheid.nl/data/dataset/kunstwerken-januari-2014","Kunstwerken januari 2014")</f>
        <v>Kunstwerken januari 2014</v>
      </c>
      <c r="D921" s="6" t="s">
        <v>17</v>
      </c>
      <c r="E921" s="5" t="s">
        <v>18</v>
      </c>
      <c r="F921" s="6" t="s">
        <v>813</v>
      </c>
      <c r="G921" s="5" t="s">
        <v>200</v>
      </c>
      <c r="H921" s="6" t="s">
        <v>20</v>
      </c>
      <c r="I921" s="5" t="s">
        <v>21</v>
      </c>
      <c r="J921" s="4" t="s">
        <v>22</v>
      </c>
      <c r="K921" s="2" t="s">
        <v>23</v>
      </c>
      <c r="L921" s="6" t="s">
        <v>24</v>
      </c>
      <c r="M921" s="5" t="s">
        <v>25</v>
      </c>
      <c r="N921" s="3" t="s">
        <v>26</v>
      </c>
      <c r="O921" s="5">
        <v>8</v>
      </c>
      <c r="P921" s="3" t="s">
        <v>23</v>
      </c>
      <c r="Q921" s="5"/>
    </row>
    <row r="922" spans="1:17" ht="170.5">
      <c r="A922" s="5">
        <v>917</v>
      </c>
      <c r="B922" s="6" t="s">
        <v>16</v>
      </c>
      <c r="C922" s="5" t="str">
        <f>HYPERLINK("http://data.overheid.nl/data/dataset/gebiedsschematisaties-rijkswateren","Gebiedsschematisaties Rijkswateren")</f>
        <v>Gebiedsschematisaties Rijkswateren</v>
      </c>
      <c r="D922" s="6" t="s">
        <v>17</v>
      </c>
      <c r="E922" s="5" t="s">
        <v>18</v>
      </c>
      <c r="F922" s="6" t="s">
        <v>813</v>
      </c>
      <c r="G922" s="5" t="s">
        <v>608</v>
      </c>
      <c r="H922" s="6" t="s">
        <v>20</v>
      </c>
      <c r="I922" s="5" t="s">
        <v>21</v>
      </c>
      <c r="J922" s="4" t="s">
        <v>22</v>
      </c>
      <c r="K922" s="2" t="s">
        <v>23</v>
      </c>
      <c r="L922" s="6" t="s">
        <v>24</v>
      </c>
      <c r="M922" s="5" t="s">
        <v>25</v>
      </c>
      <c r="N922" s="3" t="s">
        <v>26</v>
      </c>
      <c r="O922" s="5">
        <v>1</v>
      </c>
      <c r="P922" s="3" t="s">
        <v>23</v>
      </c>
      <c r="Q922" s="5"/>
    </row>
    <row r="923" spans="1:17" ht="46.5">
      <c r="A923" s="5">
        <v>918</v>
      </c>
      <c r="B923" s="6" t="s">
        <v>16</v>
      </c>
      <c r="C923" s="5" t="str">
        <f>HYPERLINK("http://data.overheid.nl/data/dataset/kwaliteit-kunstwerken-2012","Kwaliteit kunstwerken 2012")</f>
        <v>Kwaliteit kunstwerken 2012</v>
      </c>
      <c r="D923" s="6" t="s">
        <v>17</v>
      </c>
      <c r="E923" s="5" t="s">
        <v>18</v>
      </c>
      <c r="F923" s="6" t="s">
        <v>813</v>
      </c>
      <c r="G923" s="5" t="s">
        <v>200</v>
      </c>
      <c r="H923" s="6" t="s">
        <v>28</v>
      </c>
      <c r="I923" s="5" t="s">
        <v>21</v>
      </c>
      <c r="J923" s="4" t="s">
        <v>22</v>
      </c>
      <c r="K923" s="2" t="s">
        <v>23</v>
      </c>
      <c r="L923" s="6" t="s">
        <v>24</v>
      </c>
      <c r="M923" s="5" t="s">
        <v>25</v>
      </c>
      <c r="N923" s="3" t="s">
        <v>26</v>
      </c>
      <c r="O923" s="5">
        <v>6</v>
      </c>
      <c r="P923" s="3" t="s">
        <v>23</v>
      </c>
      <c r="Q923" s="5"/>
    </row>
    <row r="924" spans="1:17" ht="124">
      <c r="A924" s="5">
        <v>919</v>
      </c>
      <c r="B924" s="6" t="s">
        <v>16</v>
      </c>
      <c r="C924" s="5" t="str">
        <f>HYPERLINK("http://data.overheid.nl/data/dataset/hydrografische-kaart-ijsselmeergebied-1905-dieptepunten","Hydrografische kaart IJsselmeergebied 1905 - dieptepunten")</f>
        <v>Hydrografische kaart IJsselmeergebied 1905 - dieptepunten</v>
      </c>
      <c r="D924" s="6" t="s">
        <v>17</v>
      </c>
      <c r="E924" s="5" t="s">
        <v>18</v>
      </c>
      <c r="F924" s="6" t="s">
        <v>813</v>
      </c>
      <c r="G924" s="5" t="s">
        <v>609</v>
      </c>
      <c r="H924" s="6" t="s">
        <v>20</v>
      </c>
      <c r="I924" s="5" t="s">
        <v>21</v>
      </c>
      <c r="J924" s="4" t="s">
        <v>22</v>
      </c>
      <c r="K924" s="2" t="s">
        <v>23</v>
      </c>
      <c r="L924" s="6" t="s">
        <v>24</v>
      </c>
      <c r="M924" s="5" t="s">
        <v>25</v>
      </c>
      <c r="N924" s="3" t="s">
        <v>26</v>
      </c>
      <c r="O924" s="5">
        <v>2</v>
      </c>
      <c r="P924" s="3" t="s">
        <v>23</v>
      </c>
      <c r="Q924" s="5"/>
    </row>
    <row r="925" spans="1:17" ht="124">
      <c r="A925" s="5">
        <v>920</v>
      </c>
      <c r="B925" s="6" t="s">
        <v>16</v>
      </c>
      <c r="C925" s="5" t="str">
        <f>HYPERLINK("http://data.overheid.nl/data/dataset/hydrografische-kaart-ijsselmeergebied-1905-dieptelijnen","Hydrografische kaart IJsselmeergebied 1905 - dieptelijnen")</f>
        <v>Hydrografische kaart IJsselmeergebied 1905 - dieptelijnen</v>
      </c>
      <c r="D925" s="6" t="s">
        <v>17</v>
      </c>
      <c r="E925" s="5" t="s">
        <v>18</v>
      </c>
      <c r="F925" s="6" t="s">
        <v>813</v>
      </c>
      <c r="G925" s="5" t="s">
        <v>610</v>
      </c>
      <c r="H925" s="6" t="s">
        <v>20</v>
      </c>
      <c r="I925" s="5" t="s">
        <v>21</v>
      </c>
      <c r="J925" s="4" t="s">
        <v>22</v>
      </c>
      <c r="K925" s="2" t="s">
        <v>23</v>
      </c>
      <c r="L925" s="6" t="s">
        <v>24</v>
      </c>
      <c r="M925" s="5" t="s">
        <v>25</v>
      </c>
      <c r="N925" s="3" t="s">
        <v>26</v>
      </c>
      <c r="O925" s="5">
        <v>4</v>
      </c>
      <c r="P925" s="3" t="s">
        <v>23</v>
      </c>
      <c r="Q925" s="5"/>
    </row>
    <row r="926" spans="1:17" ht="155">
      <c r="A926" s="5">
        <v>921</v>
      </c>
      <c r="B926" s="6" t="s">
        <v>16</v>
      </c>
      <c r="C926" s="5" t="str">
        <f>HYPERLINK("http://data.overheid.nl/data/dataset/hydrografische-kaart-ijsselmeergebied-1905-bodemdieptemodel","Hydrografische kaart IJsselmeergebied 1905 - bodemdieptemodel")</f>
        <v>Hydrografische kaart IJsselmeergebied 1905 - bodemdieptemodel</v>
      </c>
      <c r="D926" s="6" t="s">
        <v>17</v>
      </c>
      <c r="E926" s="5" t="s">
        <v>18</v>
      </c>
      <c r="F926" s="6" t="s">
        <v>813</v>
      </c>
      <c r="G926" s="5" t="s">
        <v>611</v>
      </c>
      <c r="H926" s="6" t="s">
        <v>20</v>
      </c>
      <c r="I926" s="5" t="s">
        <v>21</v>
      </c>
      <c r="J926" s="4" t="s">
        <v>22</v>
      </c>
      <c r="K926" s="2" t="s">
        <v>23</v>
      </c>
      <c r="L926" s="6" t="s">
        <v>24</v>
      </c>
      <c r="M926" s="5" t="s">
        <v>25</v>
      </c>
      <c r="N926" s="3" t="s">
        <v>26</v>
      </c>
      <c r="O926" s="5">
        <v>2</v>
      </c>
      <c r="P926" s="3" t="s">
        <v>23</v>
      </c>
      <c r="Q926" s="5"/>
    </row>
    <row r="927" spans="1:17" ht="124">
      <c r="A927" s="5">
        <v>922</v>
      </c>
      <c r="B927" s="6" t="s">
        <v>16</v>
      </c>
      <c r="C927" s="5" t="str">
        <f>HYPERLINK("http://data.overheid.nl/data/dataset/hydrografische-kaart-ijsselmeergebied-1905","Hydrografische kaart IJsselmeergebied 1905")</f>
        <v>Hydrografische kaart IJsselmeergebied 1905</v>
      </c>
      <c r="D927" s="6" t="s">
        <v>17</v>
      </c>
      <c r="E927" s="5" t="s">
        <v>18</v>
      </c>
      <c r="F927" s="6" t="s">
        <v>813</v>
      </c>
      <c r="G927" s="5" t="s">
        <v>612</v>
      </c>
      <c r="H927" s="6" t="s">
        <v>20</v>
      </c>
      <c r="I927" s="5" t="s">
        <v>21</v>
      </c>
      <c r="J927" s="4" t="s">
        <v>22</v>
      </c>
      <c r="K927" s="2" t="s">
        <v>23</v>
      </c>
      <c r="L927" s="6" t="s">
        <v>24</v>
      </c>
      <c r="M927" s="5" t="s">
        <v>25</v>
      </c>
      <c r="N927" s="3" t="s">
        <v>26</v>
      </c>
      <c r="O927" s="5">
        <v>2</v>
      </c>
      <c r="P927" s="3" t="s">
        <v>23</v>
      </c>
      <c r="Q927" s="5"/>
    </row>
    <row r="928" spans="1:17" ht="186">
      <c r="A928" s="5">
        <v>923</v>
      </c>
      <c r="B928" s="6" t="s">
        <v>16</v>
      </c>
      <c r="C928" s="5" t="str">
        <f>HYPERLINK("http://data.overheid.nl/data/dataset/nis-netwerkcategorieen","NIS Netwerkcategorieen")</f>
        <v>NIS Netwerkcategorieen</v>
      </c>
      <c r="D928" s="6" t="s">
        <v>17</v>
      </c>
      <c r="E928" s="5" t="s">
        <v>18</v>
      </c>
      <c r="F928" s="6" t="s">
        <v>813</v>
      </c>
      <c r="G928" s="5" t="s">
        <v>613</v>
      </c>
      <c r="H928" s="6" t="s">
        <v>20</v>
      </c>
      <c r="I928" s="5" t="s">
        <v>21</v>
      </c>
      <c r="J928" s="4" t="s">
        <v>22</v>
      </c>
      <c r="K928" s="2" t="s">
        <v>23</v>
      </c>
      <c r="L928" s="6" t="s">
        <v>24</v>
      </c>
      <c r="M928" s="5" t="s">
        <v>25</v>
      </c>
      <c r="N928" s="3" t="s">
        <v>26</v>
      </c>
      <c r="O928" s="5">
        <v>5</v>
      </c>
      <c r="P928" s="3" t="s">
        <v>23</v>
      </c>
      <c r="Q928" s="5"/>
    </row>
    <row r="929" spans="1:17" ht="31">
      <c r="A929" s="5">
        <v>924</v>
      </c>
      <c r="B929" s="6" t="s">
        <v>16</v>
      </c>
      <c r="C929" s="5" t="str">
        <f>HYPERLINK("http://data.overheid.nl/data/dataset/vaarwegmeubilair-dienst-zuid-holland","Vaarwegmeubilair Dienst Zuid-Holland")</f>
        <v>Vaarwegmeubilair Dienst Zuid-Holland</v>
      </c>
      <c r="D929" s="6" t="s">
        <v>17</v>
      </c>
      <c r="E929" s="5" t="s">
        <v>18</v>
      </c>
      <c r="F929" s="6" t="s">
        <v>813</v>
      </c>
      <c r="G929" s="5" t="s">
        <v>614</v>
      </c>
      <c r="H929" s="6" t="s">
        <v>20</v>
      </c>
      <c r="I929" s="5" t="s">
        <v>21</v>
      </c>
      <c r="J929" s="4" t="s">
        <v>22</v>
      </c>
      <c r="K929" s="2" t="s">
        <v>23</v>
      </c>
      <c r="L929" s="6" t="s">
        <v>24</v>
      </c>
      <c r="M929" s="5" t="s">
        <v>25</v>
      </c>
      <c r="N929" s="3" t="s">
        <v>26</v>
      </c>
      <c r="O929" s="5">
        <v>2</v>
      </c>
      <c r="P929" s="3" t="s">
        <v>23</v>
      </c>
      <c r="Q929" s="5"/>
    </row>
    <row r="930" spans="1:17" ht="31">
      <c r="A930" s="5">
        <v>925</v>
      </c>
      <c r="B930" s="6" t="s">
        <v>16</v>
      </c>
      <c r="C930" s="5" t="str">
        <f>HYPERLINK("http://data.overheid.nl/data/dataset/vaarwegmeubilair-dienst-zeeland","Vaarwegmeubilair Dienst Zeeland")</f>
        <v>Vaarwegmeubilair Dienst Zeeland</v>
      </c>
      <c r="D930" s="6" t="s">
        <v>17</v>
      </c>
      <c r="E930" s="5" t="s">
        <v>18</v>
      </c>
      <c r="F930" s="6" t="s">
        <v>813</v>
      </c>
      <c r="G930" s="5" t="s">
        <v>614</v>
      </c>
      <c r="H930" s="6" t="s">
        <v>20</v>
      </c>
      <c r="I930" s="5" t="s">
        <v>21</v>
      </c>
      <c r="J930" s="4" t="s">
        <v>22</v>
      </c>
      <c r="K930" s="2" t="s">
        <v>23</v>
      </c>
      <c r="L930" s="6" t="s">
        <v>24</v>
      </c>
      <c r="M930" s="5" t="s">
        <v>25</v>
      </c>
      <c r="N930" s="3" t="s">
        <v>26</v>
      </c>
      <c r="O930" s="5">
        <v>2</v>
      </c>
      <c r="P930" s="3" t="s">
        <v>23</v>
      </c>
      <c r="Q930" s="5"/>
    </row>
    <row r="931" spans="1:17" ht="31">
      <c r="A931" s="5">
        <v>926</v>
      </c>
      <c r="B931" s="6" t="s">
        <v>16</v>
      </c>
      <c r="C931" s="5" t="str">
        <f>HYPERLINK("http://data.overheid.nl/data/dataset/vaarwegmeubilair-dienst-utrecht","Vaarwegmeubilair Dienst Utrecht")</f>
        <v>Vaarwegmeubilair Dienst Utrecht</v>
      </c>
      <c r="D931" s="6" t="s">
        <v>17</v>
      </c>
      <c r="E931" s="5" t="s">
        <v>18</v>
      </c>
      <c r="F931" s="6" t="s">
        <v>813</v>
      </c>
      <c r="G931" s="5" t="s">
        <v>615</v>
      </c>
      <c r="H931" s="6" t="s">
        <v>20</v>
      </c>
      <c r="I931" s="5" t="s">
        <v>21</v>
      </c>
      <c r="J931" s="4" t="s">
        <v>22</v>
      </c>
      <c r="K931" s="2" t="s">
        <v>23</v>
      </c>
      <c r="L931" s="6" t="s">
        <v>24</v>
      </c>
      <c r="M931" s="5" t="s">
        <v>25</v>
      </c>
      <c r="N931" s="3" t="s">
        <v>26</v>
      </c>
      <c r="O931" s="5">
        <v>2</v>
      </c>
      <c r="P931" s="3" t="s">
        <v>23</v>
      </c>
      <c r="Q931" s="5"/>
    </row>
    <row r="932" spans="1:17" ht="31">
      <c r="A932" s="5">
        <v>927</v>
      </c>
      <c r="B932" s="6" t="s">
        <v>16</v>
      </c>
      <c r="C932" s="5" t="str">
        <f>HYPERLINK("http://data.overheid.nl/data/dataset/vaarwegmeubilair-dienst-oost-nederland","Vaarwegmeubilair Dienst Oost Nederland")</f>
        <v>Vaarwegmeubilair Dienst Oost Nederland</v>
      </c>
      <c r="D932" s="6" t="s">
        <v>17</v>
      </c>
      <c r="E932" s="5" t="s">
        <v>18</v>
      </c>
      <c r="F932" s="6" t="s">
        <v>813</v>
      </c>
      <c r="G932" s="5" t="s">
        <v>616</v>
      </c>
      <c r="H932" s="6" t="s">
        <v>20</v>
      </c>
      <c r="I932" s="5" t="s">
        <v>21</v>
      </c>
      <c r="J932" s="4" t="s">
        <v>22</v>
      </c>
      <c r="K932" s="2" t="s">
        <v>23</v>
      </c>
      <c r="L932" s="6" t="s">
        <v>24</v>
      </c>
      <c r="M932" s="5" t="s">
        <v>25</v>
      </c>
      <c r="N932" s="3" t="s">
        <v>26</v>
      </c>
      <c r="O932" s="5">
        <v>2</v>
      </c>
      <c r="P932" s="3" t="s">
        <v>23</v>
      </c>
      <c r="Q932" s="5"/>
    </row>
    <row r="933" spans="1:17" ht="31">
      <c r="A933" s="5">
        <v>928</v>
      </c>
      <c r="B933" s="6" t="s">
        <v>16</v>
      </c>
      <c r="C933" s="5" t="str">
        <f>HYPERLINK("http://data.overheid.nl/data/dataset/vaarwegmeubilair-dienst-noord-brabant","Vaarwegmeubilair Dienst Noord Brabant")</f>
        <v>Vaarwegmeubilair Dienst Noord Brabant</v>
      </c>
      <c r="D933" s="6" t="s">
        <v>17</v>
      </c>
      <c r="E933" s="5" t="s">
        <v>18</v>
      </c>
      <c r="F933" s="6" t="s">
        <v>813</v>
      </c>
      <c r="G933" s="5" t="s">
        <v>617</v>
      </c>
      <c r="H933" s="6" t="s">
        <v>20</v>
      </c>
      <c r="I933" s="5" t="s">
        <v>21</v>
      </c>
      <c r="J933" s="4" t="s">
        <v>22</v>
      </c>
      <c r="K933" s="2" t="s">
        <v>23</v>
      </c>
      <c r="L933" s="6" t="s">
        <v>24</v>
      </c>
      <c r="M933" s="5" t="s">
        <v>25</v>
      </c>
      <c r="N933" s="3" t="s">
        <v>26</v>
      </c>
      <c r="O933" s="5">
        <v>2</v>
      </c>
      <c r="P933" s="3" t="s">
        <v>23</v>
      </c>
      <c r="Q933" s="5"/>
    </row>
    <row r="934" spans="1:17" ht="31">
      <c r="A934" s="5">
        <v>929</v>
      </c>
      <c r="B934" s="6" t="s">
        <v>16</v>
      </c>
      <c r="C934" s="5" t="str">
        <f>HYPERLINK("http://data.overheid.nl/data/dataset/vaarwegmeubilair-dienst-limburg","Vaarwegmeubilair Dienst Limburg")</f>
        <v>Vaarwegmeubilair Dienst Limburg</v>
      </c>
      <c r="D934" s="6" t="s">
        <v>17</v>
      </c>
      <c r="E934" s="5" t="s">
        <v>18</v>
      </c>
      <c r="F934" s="6" t="s">
        <v>813</v>
      </c>
      <c r="G934" s="5" t="s">
        <v>618</v>
      </c>
      <c r="H934" s="6" t="s">
        <v>20</v>
      </c>
      <c r="I934" s="5" t="s">
        <v>21</v>
      </c>
      <c r="J934" s="4" t="s">
        <v>22</v>
      </c>
      <c r="K934" s="2" t="s">
        <v>23</v>
      </c>
      <c r="L934" s="6" t="s">
        <v>24</v>
      </c>
      <c r="M934" s="5" t="s">
        <v>25</v>
      </c>
      <c r="N934" s="3" t="s">
        <v>26</v>
      </c>
      <c r="O934" s="5">
        <v>2</v>
      </c>
      <c r="P934" s="3" t="s">
        <v>23</v>
      </c>
      <c r="Q934" s="5"/>
    </row>
    <row r="935" spans="1:17" ht="31">
      <c r="A935" s="5">
        <v>930</v>
      </c>
      <c r="B935" s="6" t="s">
        <v>16</v>
      </c>
      <c r="C935" s="5" t="str">
        <f>HYPERLINK("http://data.overheid.nl/data/dataset/vaarwegmeubilair-dienst-ijsselmeergebied","Vaarwegmeubilair Dienst IJsselmeergebied")</f>
        <v>Vaarwegmeubilair Dienst IJsselmeergebied</v>
      </c>
      <c r="D935" s="6" t="s">
        <v>17</v>
      </c>
      <c r="E935" s="5" t="s">
        <v>18</v>
      </c>
      <c r="F935" s="6" t="s">
        <v>813</v>
      </c>
      <c r="G935" s="5" t="s">
        <v>619</v>
      </c>
      <c r="H935" s="6" t="s">
        <v>20</v>
      </c>
      <c r="I935" s="5" t="s">
        <v>21</v>
      </c>
      <c r="J935" s="4" t="s">
        <v>22</v>
      </c>
      <c r="K935" s="2" t="s">
        <v>23</v>
      </c>
      <c r="L935" s="6" t="s">
        <v>24</v>
      </c>
      <c r="M935" s="5" t="s">
        <v>25</v>
      </c>
      <c r="N935" s="3" t="s">
        <v>26</v>
      </c>
      <c r="O935" s="5">
        <v>2</v>
      </c>
      <c r="P935" s="3" t="s">
        <v>23</v>
      </c>
      <c r="Q935" s="5"/>
    </row>
    <row r="936" spans="1:17" ht="93">
      <c r="A936" s="5">
        <v>931</v>
      </c>
      <c r="B936" s="6" t="s">
        <v>16</v>
      </c>
      <c r="C936" s="5" t="str">
        <f>HYPERLINK("http://data.overheid.nl/data/dataset/ahn2-0-5-meter-ruw-raster","AHN2 0,5 meter ruw raster")</f>
        <v>AHN2 0,5 meter ruw raster</v>
      </c>
      <c r="D936" s="6" t="s">
        <v>17</v>
      </c>
      <c r="E936" s="5" t="s">
        <v>18</v>
      </c>
      <c r="F936" s="6" t="s">
        <v>813</v>
      </c>
      <c r="G936" s="5" t="s">
        <v>620</v>
      </c>
      <c r="H936" s="6" t="s">
        <v>20</v>
      </c>
      <c r="I936" s="5" t="s">
        <v>21</v>
      </c>
      <c r="J936" s="4" t="s">
        <v>22</v>
      </c>
      <c r="K936" s="2" t="s">
        <v>23</v>
      </c>
      <c r="L936" s="6" t="s">
        <v>24</v>
      </c>
      <c r="M936" s="5" t="s">
        <v>25</v>
      </c>
      <c r="N936" s="3" t="s">
        <v>26</v>
      </c>
      <c r="O936" s="5">
        <v>4</v>
      </c>
      <c r="P936" s="3" t="s">
        <v>23</v>
      </c>
      <c r="Q936" s="5"/>
    </row>
    <row r="937" spans="1:17" ht="108.5">
      <c r="A937" s="5">
        <v>932</v>
      </c>
      <c r="B937" s="6" t="s">
        <v>16</v>
      </c>
      <c r="C937" s="5" t="str">
        <f>HYPERLINK("http://data.overheid.nl/data/dataset/ahn2-0-5-meter-maaiveld-raster-opgevuld","AHN2 0,5 meter maaiveld raster, opgevuld")</f>
        <v>AHN2 0,5 meter maaiveld raster, opgevuld</v>
      </c>
      <c r="D937" s="6" t="s">
        <v>17</v>
      </c>
      <c r="E937" s="5" t="s">
        <v>621</v>
      </c>
      <c r="F937" s="6" t="s">
        <v>813</v>
      </c>
      <c r="G937" s="5" t="s">
        <v>622</v>
      </c>
      <c r="H937" s="6" t="s">
        <v>20</v>
      </c>
      <c r="I937" s="5" t="s">
        <v>21</v>
      </c>
      <c r="J937" s="4" t="s">
        <v>22</v>
      </c>
      <c r="K937" s="2" t="s">
        <v>23</v>
      </c>
      <c r="L937" s="6" t="s">
        <v>24</v>
      </c>
      <c r="M937" s="5" t="s">
        <v>25</v>
      </c>
      <c r="N937" s="3" t="s">
        <v>26</v>
      </c>
      <c r="O937" s="5">
        <v>4</v>
      </c>
      <c r="P937" s="3" t="s">
        <v>23</v>
      </c>
      <c r="Q937" s="5"/>
    </row>
    <row r="938" spans="1:17" ht="139.5">
      <c r="A938" s="5">
        <v>933</v>
      </c>
      <c r="B938" s="6" t="s">
        <v>16</v>
      </c>
      <c r="C938" s="5" t="str">
        <f>HYPERLINK("http://data.overheid.nl/data/dataset/ahn2-0-5-meter-maaiveldraster-niet-opgevuld","AHN2 0,5 meter maaiveldraster, niet opgevuld")</f>
        <v>AHN2 0,5 meter maaiveldraster, niet opgevuld</v>
      </c>
      <c r="D938" s="6" t="s">
        <v>17</v>
      </c>
      <c r="E938" s="5" t="s">
        <v>621</v>
      </c>
      <c r="F938" s="6" t="s">
        <v>813</v>
      </c>
      <c r="G938" s="5" t="s">
        <v>623</v>
      </c>
      <c r="H938" s="6" t="s">
        <v>20</v>
      </c>
      <c r="I938" s="5" t="s">
        <v>21</v>
      </c>
      <c r="J938" s="4" t="s">
        <v>22</v>
      </c>
      <c r="K938" s="2" t="s">
        <v>23</v>
      </c>
      <c r="L938" s="6" t="s">
        <v>24</v>
      </c>
      <c r="M938" s="5" t="s">
        <v>25</v>
      </c>
      <c r="N938" s="3" t="s">
        <v>26</v>
      </c>
      <c r="O938" s="5">
        <v>4</v>
      </c>
      <c r="P938" s="3" t="s">
        <v>23</v>
      </c>
      <c r="Q938" s="5"/>
    </row>
    <row r="939" spans="1:17" ht="46.5">
      <c r="A939" s="5">
        <v>934</v>
      </c>
      <c r="B939" s="6" t="s">
        <v>16</v>
      </c>
      <c r="C939" s="5" t="str">
        <f>HYPERLINK("http://data.overheid.nl/data/dataset/locaties-helicopterfotos-2007","Locaties helicopterfotos 2007")</f>
        <v>Locaties helicopterfotos 2007</v>
      </c>
      <c r="D939" s="6" t="s">
        <v>17</v>
      </c>
      <c r="E939" s="5" t="s">
        <v>18</v>
      </c>
      <c r="F939" s="6" t="s">
        <v>813</v>
      </c>
      <c r="G939" s="5" t="s">
        <v>237</v>
      </c>
      <c r="H939" s="6" t="s">
        <v>20</v>
      </c>
      <c r="I939" s="5" t="s">
        <v>21</v>
      </c>
      <c r="J939" s="4" t="s">
        <v>22</v>
      </c>
      <c r="K939" s="2" t="s">
        <v>23</v>
      </c>
      <c r="L939" s="6" t="s">
        <v>24</v>
      </c>
      <c r="M939" s="5" t="s">
        <v>25</v>
      </c>
      <c r="N939" s="3" t="s">
        <v>26</v>
      </c>
      <c r="O939" s="5">
        <v>2</v>
      </c>
      <c r="P939" s="3" t="s">
        <v>23</v>
      </c>
      <c r="Q939" s="5"/>
    </row>
    <row r="940" spans="1:17" ht="31">
      <c r="A940" s="5">
        <v>935</v>
      </c>
      <c r="B940" s="6" t="s">
        <v>16</v>
      </c>
      <c r="C940" s="5" t="str">
        <f>HYPERLINK("http://data.overheid.nl/data/dataset/inspire-datasetverzameling-rijkswaterstaat-01","INSPIRE - Datasetverzameling Rijkswaterstaat")</f>
        <v>INSPIRE - Datasetverzameling Rijkswaterstaat</v>
      </c>
      <c r="D940" s="6" t="s">
        <v>17</v>
      </c>
      <c r="E940" s="5" t="s">
        <v>18</v>
      </c>
      <c r="F940" s="6" t="s">
        <v>813</v>
      </c>
      <c r="G940" s="5" t="s">
        <v>624</v>
      </c>
      <c r="H940" s="6" t="s">
        <v>20</v>
      </c>
      <c r="I940" s="5" t="s">
        <v>21</v>
      </c>
      <c r="J940" s="7" t="s">
        <v>38</v>
      </c>
      <c r="K940" s="2" t="s">
        <v>23</v>
      </c>
      <c r="L940" s="6" t="s">
        <v>24</v>
      </c>
      <c r="M940" s="5" t="s">
        <v>25</v>
      </c>
      <c r="N940" s="3" t="s">
        <v>26</v>
      </c>
      <c r="O940" s="5">
        <v>0</v>
      </c>
      <c r="P940" s="3" t="s">
        <v>23</v>
      </c>
      <c r="Q940" s="5"/>
    </row>
    <row r="941" spans="1:17" ht="155">
      <c r="A941" s="5">
        <v>936</v>
      </c>
      <c r="B941" s="6" t="s">
        <v>16</v>
      </c>
      <c r="C941" s="5" t="str">
        <f>HYPERLINK("http://data.overheid.nl/data/dataset/ahn1-uitgefilterde-puntenwolk","AHN1 uitgefilterde puntenwolk")</f>
        <v>AHN1 uitgefilterde puntenwolk</v>
      </c>
      <c r="D941" s="6" t="s">
        <v>17</v>
      </c>
      <c r="E941" s="5" t="s">
        <v>18</v>
      </c>
      <c r="F941" s="6" t="s">
        <v>813</v>
      </c>
      <c r="G941" s="5" t="s">
        <v>625</v>
      </c>
      <c r="H941" s="6" t="s">
        <v>20</v>
      </c>
      <c r="I941" s="5" t="s">
        <v>21</v>
      </c>
      <c r="J941" s="4" t="s">
        <v>22</v>
      </c>
      <c r="K941" s="2" t="s">
        <v>23</v>
      </c>
      <c r="L941" s="6" t="s">
        <v>24</v>
      </c>
      <c r="M941" s="5" t="s">
        <v>25</v>
      </c>
      <c r="N941" s="3" t="s">
        <v>26</v>
      </c>
      <c r="O941" s="5">
        <v>1</v>
      </c>
      <c r="P941" s="3" t="s">
        <v>23</v>
      </c>
      <c r="Q941" s="5"/>
    </row>
    <row r="942" spans="1:17" ht="186">
      <c r="A942" s="5">
        <v>937</v>
      </c>
      <c r="B942" s="6" t="s">
        <v>16</v>
      </c>
      <c r="C942" s="5" t="str">
        <f>HYPERLINK("http://data.overheid.nl/data/dataset/ahn1-gefilterde-puntenwolk","AHN1 gefilterde puntenwolk")</f>
        <v>AHN1 gefilterde puntenwolk</v>
      </c>
      <c r="D942" s="6" t="s">
        <v>17</v>
      </c>
      <c r="E942" s="5" t="s">
        <v>621</v>
      </c>
      <c r="F942" s="6" t="s">
        <v>813</v>
      </c>
      <c r="G942" s="5" t="s">
        <v>626</v>
      </c>
      <c r="H942" s="6" t="s">
        <v>20</v>
      </c>
      <c r="I942" s="5" t="s">
        <v>21</v>
      </c>
      <c r="J942" s="4" t="s">
        <v>22</v>
      </c>
      <c r="K942" s="2" t="s">
        <v>23</v>
      </c>
      <c r="L942" s="6" t="s">
        <v>24</v>
      </c>
      <c r="M942" s="5" t="s">
        <v>25</v>
      </c>
      <c r="N942" s="3" t="s">
        <v>26</v>
      </c>
      <c r="O942" s="5">
        <v>1</v>
      </c>
      <c r="P942" s="3" t="s">
        <v>23</v>
      </c>
      <c r="Q942" s="5"/>
    </row>
    <row r="943" spans="1:17" ht="62">
      <c r="A943" s="5">
        <v>938</v>
      </c>
      <c r="B943" s="6" t="s">
        <v>16</v>
      </c>
      <c r="C943" s="5" t="str">
        <f>HYPERLINK("http://data.overheid.nl/data/dataset/ahn1-25-meter-maaiveldraster-01","AHN1 25 meter maaiveldraster")</f>
        <v>AHN1 25 meter maaiveldraster</v>
      </c>
      <c r="D943" s="6" t="s">
        <v>17</v>
      </c>
      <c r="E943" s="5" t="s">
        <v>18</v>
      </c>
      <c r="F943" s="6" t="s">
        <v>813</v>
      </c>
      <c r="G943" s="5" t="s">
        <v>627</v>
      </c>
      <c r="H943" s="6" t="s">
        <v>20</v>
      </c>
      <c r="I943" s="5" t="s">
        <v>21</v>
      </c>
      <c r="J943" s="4" t="s">
        <v>22</v>
      </c>
      <c r="K943" s="2" t="s">
        <v>23</v>
      </c>
      <c r="L943" s="6" t="s">
        <v>24</v>
      </c>
      <c r="M943" s="5" t="s">
        <v>25</v>
      </c>
      <c r="N943" s="3" t="s">
        <v>26</v>
      </c>
      <c r="O943" s="5">
        <v>6</v>
      </c>
      <c r="P943" s="3" t="s">
        <v>23</v>
      </c>
      <c r="Q943" s="5"/>
    </row>
    <row r="944" spans="1:17" ht="77.5">
      <c r="A944" s="5">
        <v>939</v>
      </c>
      <c r="B944" s="6" t="s">
        <v>16</v>
      </c>
      <c r="C944" s="5" t="str">
        <f>HYPERLINK("http://data.overheid.nl/data/dataset/ahn1-25-meter-maaiveldraster","AHN1 25 meter maaiveldraster")</f>
        <v>AHN1 25 meter maaiveldraster</v>
      </c>
      <c r="D944" s="6" t="s">
        <v>17</v>
      </c>
      <c r="E944" s="5" t="s">
        <v>18</v>
      </c>
      <c r="F944" s="6" t="s">
        <v>813</v>
      </c>
      <c r="G944" s="5" t="s">
        <v>628</v>
      </c>
      <c r="H944" s="6" t="s">
        <v>20</v>
      </c>
      <c r="I944" s="5" t="s">
        <v>21</v>
      </c>
      <c r="J944" s="4" t="s">
        <v>22</v>
      </c>
      <c r="K944" s="2" t="s">
        <v>23</v>
      </c>
      <c r="L944" s="6" t="s">
        <v>24</v>
      </c>
      <c r="M944" s="5" t="s">
        <v>25</v>
      </c>
      <c r="N944" s="3" t="s">
        <v>26</v>
      </c>
      <c r="O944" s="5">
        <v>6</v>
      </c>
      <c r="P944" s="3" t="s">
        <v>23</v>
      </c>
      <c r="Q944" s="5"/>
    </row>
    <row r="945" spans="1:17" ht="201.5">
      <c r="A945" s="5">
        <v>940</v>
      </c>
      <c r="B945" s="6" t="s">
        <v>16</v>
      </c>
      <c r="C945" s="5" t="str">
        <f>HYPERLINK("http://data.overheid.nl/data/dataset/kaderrichtlijn-water-stroomgebieddistricten-nederland-vlakken","Kaderrichtlijn Water stroomgebieddistricten Nederland vlakken")</f>
        <v>Kaderrichtlijn Water stroomgebieddistricten Nederland vlakken</v>
      </c>
      <c r="D945" s="6" t="s">
        <v>17</v>
      </c>
      <c r="E945" s="5" t="s">
        <v>18</v>
      </c>
      <c r="F945" s="6" t="s">
        <v>813</v>
      </c>
      <c r="G945" s="5" t="s">
        <v>629</v>
      </c>
      <c r="H945" s="6" t="s">
        <v>20</v>
      </c>
      <c r="I945" s="5" t="s">
        <v>21</v>
      </c>
      <c r="J945" s="4" t="s">
        <v>22</v>
      </c>
      <c r="K945" s="2" t="s">
        <v>23</v>
      </c>
      <c r="L945" s="6" t="s">
        <v>24</v>
      </c>
      <c r="M945" s="5" t="s">
        <v>25</v>
      </c>
      <c r="N945" s="3" t="s">
        <v>26</v>
      </c>
      <c r="O945" s="5">
        <v>2</v>
      </c>
      <c r="P945" s="3" t="s">
        <v>23</v>
      </c>
      <c r="Q945" s="5"/>
    </row>
    <row r="946" spans="1:17" ht="201.5">
      <c r="A946" s="5">
        <v>941</v>
      </c>
      <c r="B946" s="6" t="s">
        <v>16</v>
      </c>
      <c r="C946" s="5" t="str">
        <f>HYPERLINK("http://data.overheid.nl/data/dataset/kaderrichtlijn-water-stroomgebieddistricten-nederland-lijnen","Kaderrichtlijn Water stroomgebieddistricten Nederland lijnen")</f>
        <v>Kaderrichtlijn Water stroomgebieddistricten Nederland lijnen</v>
      </c>
      <c r="D946" s="6" t="s">
        <v>17</v>
      </c>
      <c r="E946" s="5" t="s">
        <v>18</v>
      </c>
      <c r="F946" s="6" t="s">
        <v>813</v>
      </c>
      <c r="G946" s="5" t="s">
        <v>630</v>
      </c>
      <c r="H946" s="6" t="s">
        <v>20</v>
      </c>
      <c r="I946" s="5" t="s">
        <v>21</v>
      </c>
      <c r="J946" s="4" t="s">
        <v>22</v>
      </c>
      <c r="K946" s="2" t="s">
        <v>23</v>
      </c>
      <c r="L946" s="6" t="s">
        <v>24</v>
      </c>
      <c r="M946" s="5" t="s">
        <v>25</v>
      </c>
      <c r="N946" s="3" t="s">
        <v>26</v>
      </c>
      <c r="O946" s="5">
        <v>2</v>
      </c>
      <c r="P946" s="3" t="s">
        <v>23</v>
      </c>
      <c r="Q946" s="5"/>
    </row>
    <row r="947" spans="1:17" ht="232.5">
      <c r="A947" s="5">
        <v>942</v>
      </c>
      <c r="B947" s="6" t="s">
        <v>16</v>
      </c>
      <c r="C947" s="5" t="str">
        <f>HYPERLINK("http://data.overheid.nl/data/dataset/kaderrichtlijn-water-deelstroomgebieden-nederland-vlakken","Kaderrichtlijn Water deelstroomgebieden Nederland vlakken")</f>
        <v>Kaderrichtlijn Water deelstroomgebieden Nederland vlakken</v>
      </c>
      <c r="D947" s="6" t="s">
        <v>17</v>
      </c>
      <c r="E947" s="5" t="s">
        <v>18</v>
      </c>
      <c r="F947" s="6" t="s">
        <v>813</v>
      </c>
      <c r="G947" s="5" t="s">
        <v>631</v>
      </c>
      <c r="H947" s="6" t="s">
        <v>20</v>
      </c>
      <c r="I947" s="5" t="s">
        <v>21</v>
      </c>
      <c r="J947" s="4" t="s">
        <v>22</v>
      </c>
      <c r="K947" s="2" t="s">
        <v>23</v>
      </c>
      <c r="L947" s="6" t="s">
        <v>24</v>
      </c>
      <c r="M947" s="5" t="s">
        <v>25</v>
      </c>
      <c r="N947" s="3" t="s">
        <v>26</v>
      </c>
      <c r="O947" s="5">
        <v>2</v>
      </c>
      <c r="P947" s="3" t="s">
        <v>23</v>
      </c>
      <c r="Q947" s="5"/>
    </row>
    <row r="948" spans="1:17" ht="232.5">
      <c r="A948" s="5">
        <v>943</v>
      </c>
      <c r="B948" s="6" t="s">
        <v>16</v>
      </c>
      <c r="C948" s="5" t="str">
        <f>HYPERLINK("http://data.overheid.nl/data/dataset/kaderrichtlijn-water-deelstroomgebieden-nederland-lijnen","Kaderrichtlijn Water deelstroomgebieden Nederland lijnen")</f>
        <v>Kaderrichtlijn Water deelstroomgebieden Nederland lijnen</v>
      </c>
      <c r="D948" s="6" t="s">
        <v>17</v>
      </c>
      <c r="E948" s="5" t="s">
        <v>18</v>
      </c>
      <c r="F948" s="6" t="s">
        <v>813</v>
      </c>
      <c r="G948" s="5" t="s">
        <v>632</v>
      </c>
      <c r="H948" s="6" t="s">
        <v>20</v>
      </c>
      <c r="I948" s="5" t="s">
        <v>21</v>
      </c>
      <c r="J948" s="4" t="s">
        <v>22</v>
      </c>
      <c r="K948" s="2" t="s">
        <v>23</v>
      </c>
      <c r="L948" s="6" t="s">
        <v>24</v>
      </c>
      <c r="M948" s="5" t="s">
        <v>25</v>
      </c>
      <c r="N948" s="3" t="s">
        <v>26</v>
      </c>
      <c r="O948" s="5">
        <v>2</v>
      </c>
      <c r="P948" s="3" t="s">
        <v>23</v>
      </c>
      <c r="Q948" s="5"/>
    </row>
    <row r="949" spans="1:17" ht="155">
      <c r="A949" s="5">
        <v>944</v>
      </c>
      <c r="B949" s="6" t="s">
        <v>16</v>
      </c>
      <c r="C949" s="5" t="str">
        <f>HYPERLINK("http://data.overheid.nl/data/dataset/ahn2-uitgefilterde-puntenwolk","AHN2 uitgefilterde puntenwolk")</f>
        <v>AHN2 uitgefilterde puntenwolk</v>
      </c>
      <c r="D949" s="6" t="s">
        <v>17</v>
      </c>
      <c r="E949" s="5" t="s">
        <v>621</v>
      </c>
      <c r="F949" s="6" t="s">
        <v>813</v>
      </c>
      <c r="G949" s="5" t="s">
        <v>633</v>
      </c>
      <c r="H949" s="6" t="s">
        <v>20</v>
      </c>
      <c r="I949" s="5" t="s">
        <v>21</v>
      </c>
      <c r="J949" s="4" t="s">
        <v>22</v>
      </c>
      <c r="K949" s="2" t="s">
        <v>23</v>
      </c>
      <c r="L949" s="6" t="s">
        <v>24</v>
      </c>
      <c r="M949" s="5" t="s">
        <v>25</v>
      </c>
      <c r="N949" s="3" t="s">
        <v>26</v>
      </c>
      <c r="O949" s="5">
        <v>1</v>
      </c>
      <c r="P949" s="3" t="s">
        <v>23</v>
      </c>
      <c r="Q949" s="5"/>
    </row>
    <row r="950" spans="1:17" ht="155">
      <c r="A950" s="5">
        <v>945</v>
      </c>
      <c r="B950" s="6" t="s">
        <v>16</v>
      </c>
      <c r="C950" s="5" t="str">
        <f>HYPERLINK("http://data.overheid.nl/data/dataset/ahn2-gefilterde-puntenwolk","AHN2 gefilterde puntenwolk")</f>
        <v>AHN2 gefilterde puntenwolk</v>
      </c>
      <c r="D950" s="6" t="s">
        <v>17</v>
      </c>
      <c r="E950" s="5" t="s">
        <v>18</v>
      </c>
      <c r="F950" s="6" t="s">
        <v>813</v>
      </c>
      <c r="G950" s="5" t="s">
        <v>634</v>
      </c>
      <c r="H950" s="6" t="s">
        <v>20</v>
      </c>
      <c r="I950" s="5" t="s">
        <v>21</v>
      </c>
      <c r="J950" s="4" t="s">
        <v>22</v>
      </c>
      <c r="K950" s="2" t="s">
        <v>23</v>
      </c>
      <c r="L950" s="6" t="s">
        <v>24</v>
      </c>
      <c r="M950" s="5" t="s">
        <v>25</v>
      </c>
      <c r="N950" s="3" t="s">
        <v>26</v>
      </c>
      <c r="O950" s="5">
        <v>1</v>
      </c>
      <c r="P950" s="3" t="s">
        <v>23</v>
      </c>
      <c r="Q950" s="5"/>
    </row>
    <row r="951" spans="1:17" ht="31">
      <c r="A951" s="5">
        <v>946</v>
      </c>
      <c r="B951" s="6" t="s">
        <v>16</v>
      </c>
      <c r="C951" s="5" t="str">
        <f>HYPERLINK("http://data.overheid.nl/data/dataset/vaarwegmeubilair-dienst-noord-holland","Vaarwegmeubilair Dienst Noord-Holland")</f>
        <v>Vaarwegmeubilair Dienst Noord-Holland</v>
      </c>
      <c r="D951" s="6" t="s">
        <v>17</v>
      </c>
      <c r="E951" s="5" t="s">
        <v>18</v>
      </c>
      <c r="F951" s="6" t="s">
        <v>813</v>
      </c>
      <c r="G951" s="5" t="s">
        <v>635</v>
      </c>
      <c r="H951" s="6" t="s">
        <v>20</v>
      </c>
      <c r="I951" s="5" t="s">
        <v>21</v>
      </c>
      <c r="J951" s="4" t="s">
        <v>22</v>
      </c>
      <c r="K951" s="2" t="s">
        <v>23</v>
      </c>
      <c r="L951" s="6" t="s">
        <v>24</v>
      </c>
      <c r="M951" s="5" t="s">
        <v>25</v>
      </c>
      <c r="N951" s="3" t="s">
        <v>26</v>
      </c>
      <c r="O951" s="5">
        <v>2</v>
      </c>
      <c r="P951" s="3" t="s">
        <v>23</v>
      </c>
      <c r="Q951" s="5"/>
    </row>
    <row r="952" spans="1:17" ht="93">
      <c r="A952" s="5">
        <v>947</v>
      </c>
      <c r="B952" s="6" t="s">
        <v>16</v>
      </c>
      <c r="C952" s="5" t="str">
        <f>HYPERLINK("http://data.overheid.nl/data/dataset/wegkenmerken-speed","Wegkenmerken + / Speed")</f>
        <v>Wegkenmerken + / Speed</v>
      </c>
      <c r="D952" s="6" t="s">
        <v>17</v>
      </c>
      <c r="E952" s="5" t="s">
        <v>18</v>
      </c>
      <c r="F952" s="6" t="s">
        <v>813</v>
      </c>
      <c r="G952" s="5" t="s">
        <v>636</v>
      </c>
      <c r="H952" s="6" t="s">
        <v>20</v>
      </c>
      <c r="I952" s="5" t="s">
        <v>21</v>
      </c>
      <c r="J952" s="4" t="s">
        <v>22</v>
      </c>
      <c r="K952" s="2" t="s">
        <v>23</v>
      </c>
      <c r="L952" s="6" t="s">
        <v>24</v>
      </c>
      <c r="M952" s="5" t="s">
        <v>25</v>
      </c>
      <c r="N952" s="3" t="s">
        <v>26</v>
      </c>
      <c r="O952" s="5">
        <v>1</v>
      </c>
      <c r="P952" s="3" t="s">
        <v>23</v>
      </c>
      <c r="Q952" s="5"/>
    </row>
    <row r="953" spans="1:17" ht="93">
      <c r="A953" s="5">
        <v>948</v>
      </c>
      <c r="B953" s="6" t="s">
        <v>16</v>
      </c>
      <c r="C953" s="5" t="str">
        <f>HYPERLINK("http://data.overheid.nl/data/dataset/talud-natuur-vriendelijke-oevers-maas-2014-lijn","Talud natuur vriendelijke oevers Maas 2014 lijn")</f>
        <v>Talud natuur vriendelijke oevers Maas 2014 lijn</v>
      </c>
      <c r="D953" s="6" t="s">
        <v>17</v>
      </c>
      <c r="E953" s="5" t="s">
        <v>18</v>
      </c>
      <c r="F953" s="6" t="s">
        <v>813</v>
      </c>
      <c r="G953" s="5" t="s">
        <v>637</v>
      </c>
      <c r="H953" s="6" t="s">
        <v>20</v>
      </c>
      <c r="I953" s="5" t="s">
        <v>21</v>
      </c>
      <c r="J953" s="4" t="s">
        <v>22</v>
      </c>
      <c r="K953" s="2" t="s">
        <v>23</v>
      </c>
      <c r="L953" s="6" t="s">
        <v>24</v>
      </c>
      <c r="M953" s="5" t="s">
        <v>25</v>
      </c>
      <c r="N953" s="3" t="s">
        <v>26</v>
      </c>
      <c r="O953" s="5">
        <v>2</v>
      </c>
      <c r="P953" s="3" t="s">
        <v>23</v>
      </c>
      <c r="Q953" s="5"/>
    </row>
    <row r="954" spans="1:17" ht="93">
      <c r="A954" s="5">
        <v>949</v>
      </c>
      <c r="B954" s="6" t="s">
        <v>16</v>
      </c>
      <c r="C954" s="5" t="str">
        <f>HYPERLINK("http://data.overheid.nl/data/dataset/structuur-natuur-vriendelijke-oevers-maas-2014-vlak","Structuur natuur vriendelijke oevers Maas 2014 vlak")</f>
        <v>Structuur natuur vriendelijke oevers Maas 2014 vlak</v>
      </c>
      <c r="D954" s="6" t="s">
        <v>17</v>
      </c>
      <c r="E954" s="5" t="s">
        <v>18</v>
      </c>
      <c r="F954" s="6" t="s">
        <v>813</v>
      </c>
      <c r="G954" s="5" t="s">
        <v>68</v>
      </c>
      <c r="H954" s="6" t="s">
        <v>20</v>
      </c>
      <c r="I954" s="5" t="s">
        <v>21</v>
      </c>
      <c r="J954" s="4" t="s">
        <v>22</v>
      </c>
      <c r="K954" s="2" t="s">
        <v>23</v>
      </c>
      <c r="L954" s="6" t="s">
        <v>24</v>
      </c>
      <c r="M954" s="5" t="s">
        <v>25</v>
      </c>
      <c r="N954" s="3" t="s">
        <v>26</v>
      </c>
      <c r="O954" s="5">
        <v>2</v>
      </c>
      <c r="P954" s="3" t="s">
        <v>23</v>
      </c>
      <c r="Q954" s="5"/>
    </row>
    <row r="955" spans="1:17" ht="93">
      <c r="A955" s="5">
        <v>950</v>
      </c>
      <c r="B955" s="6" t="s">
        <v>16</v>
      </c>
      <c r="C955" s="5" t="str">
        <f>HYPERLINK("http://data.overheid.nl/data/dataset/natuur-vriendelijke-oevers-maas-steilrand-2014-lijn","Natuur vriendelijke oevers Maas - steilrand 2014 lijn")</f>
        <v>Natuur vriendelijke oevers Maas - steilrand 2014 lijn</v>
      </c>
      <c r="D955" s="6" t="s">
        <v>17</v>
      </c>
      <c r="E955" s="5" t="s">
        <v>18</v>
      </c>
      <c r="F955" s="6" t="s">
        <v>813</v>
      </c>
      <c r="G955" s="5" t="s">
        <v>638</v>
      </c>
      <c r="H955" s="6" t="s">
        <v>20</v>
      </c>
      <c r="I955" s="5" t="s">
        <v>21</v>
      </c>
      <c r="J955" s="4" t="s">
        <v>22</v>
      </c>
      <c r="K955" s="2" t="s">
        <v>23</v>
      </c>
      <c r="L955" s="6" t="s">
        <v>24</v>
      </c>
      <c r="M955" s="5" t="s">
        <v>25</v>
      </c>
      <c r="N955" s="3" t="s">
        <v>26</v>
      </c>
      <c r="O955" s="5">
        <v>2</v>
      </c>
      <c r="P955" s="3" t="s">
        <v>23</v>
      </c>
      <c r="Q955" s="5"/>
    </row>
    <row r="956" spans="1:17" ht="93">
      <c r="A956" s="5">
        <v>951</v>
      </c>
      <c r="B956" s="6" t="s">
        <v>16</v>
      </c>
      <c r="C956" s="5" t="str">
        <f>HYPERLINK("http://data.overheid.nl/data/dataset/talud-natuur-vriendelijke-oevers-maas-2012-lijn","Talud natuur vriendelijke oevers Maas 2012 lijn")</f>
        <v>Talud natuur vriendelijke oevers Maas 2012 lijn</v>
      </c>
      <c r="D956" s="6" t="s">
        <v>17</v>
      </c>
      <c r="E956" s="5" t="s">
        <v>18</v>
      </c>
      <c r="F956" s="6" t="s">
        <v>813</v>
      </c>
      <c r="G956" s="5" t="s">
        <v>637</v>
      </c>
      <c r="H956" s="6" t="s">
        <v>20</v>
      </c>
      <c r="I956" s="5" t="s">
        <v>21</v>
      </c>
      <c r="J956" s="4" t="s">
        <v>22</v>
      </c>
      <c r="K956" s="2" t="s">
        <v>23</v>
      </c>
      <c r="L956" s="6" t="s">
        <v>24</v>
      </c>
      <c r="M956" s="5" t="s">
        <v>25</v>
      </c>
      <c r="N956" s="3" t="s">
        <v>26</v>
      </c>
      <c r="O956" s="5">
        <v>2</v>
      </c>
      <c r="P956" s="3" t="s">
        <v>23</v>
      </c>
      <c r="Q956" s="5"/>
    </row>
    <row r="957" spans="1:17" ht="93">
      <c r="A957" s="5">
        <v>952</v>
      </c>
      <c r="B957" s="6" t="s">
        <v>16</v>
      </c>
      <c r="C957" s="5" t="str">
        <f>HYPERLINK("http://data.overheid.nl/data/dataset/structuur-natuur-vriendelijke-oevers-maas-2011-vlak","Structuur natuur vriendelijke oevers Maas 2011 vlak")</f>
        <v>Structuur natuur vriendelijke oevers Maas 2011 vlak</v>
      </c>
      <c r="D957" s="6" t="s">
        <v>17</v>
      </c>
      <c r="E957" s="5" t="s">
        <v>18</v>
      </c>
      <c r="F957" s="6" t="s">
        <v>813</v>
      </c>
      <c r="G957" s="5" t="s">
        <v>639</v>
      </c>
      <c r="H957" s="6" t="s">
        <v>20</v>
      </c>
      <c r="I957" s="5" t="s">
        <v>21</v>
      </c>
      <c r="J957" s="4" t="s">
        <v>22</v>
      </c>
      <c r="K957" s="2" t="s">
        <v>23</v>
      </c>
      <c r="L957" s="6" t="s">
        <v>24</v>
      </c>
      <c r="M957" s="5" t="s">
        <v>25</v>
      </c>
      <c r="N957" s="3" t="s">
        <v>26</v>
      </c>
      <c r="O957" s="5">
        <v>2</v>
      </c>
      <c r="P957" s="3" t="s">
        <v>23</v>
      </c>
      <c r="Q957" s="5"/>
    </row>
    <row r="958" spans="1:17" ht="93">
      <c r="A958" s="5">
        <v>953</v>
      </c>
      <c r="B958" s="6" t="s">
        <v>16</v>
      </c>
      <c r="C958" s="5" t="str">
        <f>HYPERLINK("http://data.overheid.nl/data/dataset/natuur-vriendelijke-oevers-maas-steilrand-2012-lijn","Natuur vriendelijke oevers Maas - steilrand 2012 lijn")</f>
        <v>Natuur vriendelijke oevers Maas - steilrand 2012 lijn</v>
      </c>
      <c r="D958" s="6" t="s">
        <v>17</v>
      </c>
      <c r="E958" s="5" t="s">
        <v>18</v>
      </c>
      <c r="F958" s="6" t="s">
        <v>813</v>
      </c>
      <c r="G958" s="5" t="s">
        <v>638</v>
      </c>
      <c r="H958" s="6" t="s">
        <v>20</v>
      </c>
      <c r="I958" s="5" t="s">
        <v>21</v>
      </c>
      <c r="J958" s="4" t="s">
        <v>22</v>
      </c>
      <c r="K958" s="2" t="s">
        <v>23</v>
      </c>
      <c r="L958" s="6" t="s">
        <v>24</v>
      </c>
      <c r="M958" s="5" t="s">
        <v>25</v>
      </c>
      <c r="N958" s="3" t="s">
        <v>26</v>
      </c>
      <c r="O958" s="5">
        <v>2</v>
      </c>
      <c r="P958" s="3" t="s">
        <v>23</v>
      </c>
      <c r="Q958" s="5"/>
    </row>
    <row r="959" spans="1:17" ht="93">
      <c r="A959" s="5">
        <v>954</v>
      </c>
      <c r="B959" s="6" t="s">
        <v>16</v>
      </c>
      <c r="C959" s="5" t="str">
        <f>HYPERLINK("http://data.overheid.nl/data/dataset/natuur-vriendelijke-oevers-maas-steilrand-2011-lijn","Natuur vriendelijke oevers Maas - steilrand 2011 lijn")</f>
        <v>Natuur vriendelijke oevers Maas - steilrand 2011 lijn</v>
      </c>
      <c r="D959" s="6" t="s">
        <v>17</v>
      </c>
      <c r="E959" s="5" t="s">
        <v>18</v>
      </c>
      <c r="F959" s="6" t="s">
        <v>813</v>
      </c>
      <c r="G959" s="5" t="s">
        <v>639</v>
      </c>
      <c r="H959" s="6" t="s">
        <v>20</v>
      </c>
      <c r="I959" s="5" t="s">
        <v>21</v>
      </c>
      <c r="J959" s="4" t="s">
        <v>22</v>
      </c>
      <c r="K959" s="2" t="s">
        <v>23</v>
      </c>
      <c r="L959" s="6" t="s">
        <v>24</v>
      </c>
      <c r="M959" s="5" t="s">
        <v>25</v>
      </c>
      <c r="N959" s="3" t="s">
        <v>26</v>
      </c>
      <c r="O959" s="5">
        <v>2</v>
      </c>
      <c r="P959" s="3" t="s">
        <v>23</v>
      </c>
      <c r="Q959" s="5"/>
    </row>
    <row r="960" spans="1:17" ht="139.5">
      <c r="A960" s="5">
        <v>955</v>
      </c>
      <c r="B960" s="6" t="s">
        <v>16</v>
      </c>
      <c r="C960" s="5" t="str">
        <f>HYPERLINK("http://data.overheid.nl/data/dataset/natuur-vriendelijke-oevers-maas-locaties-vlak","Natuur vriendelijke oevers Maas - locaties vlak")</f>
        <v>Natuur vriendelijke oevers Maas - locaties vlak</v>
      </c>
      <c r="D960" s="6" t="s">
        <v>17</v>
      </c>
      <c r="E960" s="5" t="s">
        <v>18</v>
      </c>
      <c r="F960" s="6" t="s">
        <v>813</v>
      </c>
      <c r="G960" s="5" t="s">
        <v>640</v>
      </c>
      <c r="H960" s="6" t="s">
        <v>20</v>
      </c>
      <c r="I960" s="5" t="s">
        <v>21</v>
      </c>
      <c r="J960" s="4" t="s">
        <v>22</v>
      </c>
      <c r="K960" s="2" t="s">
        <v>23</v>
      </c>
      <c r="L960" s="6" t="s">
        <v>24</v>
      </c>
      <c r="M960" s="5" t="s">
        <v>25</v>
      </c>
      <c r="N960" s="3" t="s">
        <v>26</v>
      </c>
      <c r="O960" s="5">
        <v>2</v>
      </c>
      <c r="P960" s="3" t="s">
        <v>23</v>
      </c>
      <c r="Q960" s="5"/>
    </row>
    <row r="961" spans="1:17" ht="46.5">
      <c r="A961" s="5">
        <v>956</v>
      </c>
      <c r="B961" s="6" t="s">
        <v>16</v>
      </c>
      <c r="C961" s="5" t="str">
        <f>HYPERLINK("http://data.overheid.nl/data/dataset/weggeg-kunstwerken-in-de-weg-kenmerk","Weggeg kunstwerken in de weg kenmerk")</f>
        <v>Weggeg kunstwerken in de weg kenmerk</v>
      </c>
      <c r="D961" s="6" t="s">
        <v>17</v>
      </c>
      <c r="E961" s="5" t="s">
        <v>18</v>
      </c>
      <c r="F961" s="6" t="s">
        <v>813</v>
      </c>
      <c r="G961" s="5" t="s">
        <v>641</v>
      </c>
      <c r="H961" s="6" t="s">
        <v>20</v>
      </c>
      <c r="I961" s="5" t="s">
        <v>21</v>
      </c>
      <c r="J961" s="4" t="s">
        <v>22</v>
      </c>
      <c r="K961" s="2" t="s">
        <v>23</v>
      </c>
      <c r="L961" s="6" t="s">
        <v>24</v>
      </c>
      <c r="M961" s="5" t="s">
        <v>25</v>
      </c>
      <c r="N961" s="3" t="s">
        <v>26</v>
      </c>
      <c r="O961" s="5">
        <v>4</v>
      </c>
      <c r="P961" s="3" t="s">
        <v>23</v>
      </c>
      <c r="Q961" s="5"/>
    </row>
    <row r="962" spans="1:17" ht="46.5">
      <c r="A962" s="5">
        <v>957</v>
      </c>
      <c r="B962" s="6" t="s">
        <v>16</v>
      </c>
      <c r="C962" s="5" t="str">
        <f>HYPERLINK("http://data.overheid.nl/data/dataset/weggeg-maximum-snelheden-kenmerk","Weggeg maximum snelheden kenmerk")</f>
        <v>Weggeg maximum snelheden kenmerk</v>
      </c>
      <c r="D962" s="6" t="s">
        <v>17</v>
      </c>
      <c r="E962" s="5" t="s">
        <v>18</v>
      </c>
      <c r="F962" s="6" t="s">
        <v>813</v>
      </c>
      <c r="G962" s="5" t="s">
        <v>641</v>
      </c>
      <c r="H962" s="6" t="s">
        <v>20</v>
      </c>
      <c r="I962" s="5" t="s">
        <v>21</v>
      </c>
      <c r="J962" s="4" t="s">
        <v>22</v>
      </c>
      <c r="K962" s="2" t="s">
        <v>23</v>
      </c>
      <c r="L962" s="6" t="s">
        <v>24</v>
      </c>
      <c r="M962" s="5" t="s">
        <v>25</v>
      </c>
      <c r="N962" s="3" t="s">
        <v>26</v>
      </c>
      <c r="O962" s="5">
        <v>8</v>
      </c>
      <c r="P962" s="3" t="s">
        <v>23</v>
      </c>
      <c r="Q962" s="5"/>
    </row>
    <row r="963" spans="1:17" ht="46.5">
      <c r="A963" s="5">
        <v>958</v>
      </c>
      <c r="B963" s="6" t="s">
        <v>16</v>
      </c>
      <c r="C963" s="5" t="str">
        <f>HYPERLINK("http://data.overheid.nl/data/dataset/weggeg-verhardingen-kenmerk","Weggeg verhardingen kenmerk")</f>
        <v>Weggeg verhardingen kenmerk</v>
      </c>
      <c r="D963" s="6" t="s">
        <v>17</v>
      </c>
      <c r="E963" s="5" t="s">
        <v>18</v>
      </c>
      <c r="F963" s="6" t="s">
        <v>813</v>
      </c>
      <c r="G963" s="5" t="s">
        <v>641</v>
      </c>
      <c r="H963" s="6" t="s">
        <v>20</v>
      </c>
      <c r="I963" s="5" t="s">
        <v>21</v>
      </c>
      <c r="J963" s="4" t="s">
        <v>22</v>
      </c>
      <c r="K963" s="2" t="s">
        <v>23</v>
      </c>
      <c r="L963" s="6" t="s">
        <v>24</v>
      </c>
      <c r="M963" s="5" t="s">
        <v>25</v>
      </c>
      <c r="N963" s="3" t="s">
        <v>26</v>
      </c>
      <c r="O963" s="5">
        <v>4</v>
      </c>
      <c r="P963" s="3" t="s">
        <v>23</v>
      </c>
      <c r="Q963" s="5"/>
    </row>
    <row r="964" spans="1:17" ht="46.5">
      <c r="A964" s="5">
        <v>959</v>
      </c>
      <c r="B964" s="6" t="s">
        <v>16</v>
      </c>
      <c r="C964" s="5" t="str">
        <f>HYPERLINK("http://data.overheid.nl/data/dataset/weggeg-inhaalverboden-kenmerk","Weggeg inhaalverboden kenmerk")</f>
        <v>Weggeg inhaalverboden kenmerk</v>
      </c>
      <c r="D964" s="6" t="s">
        <v>17</v>
      </c>
      <c r="E964" s="5" t="s">
        <v>18</v>
      </c>
      <c r="F964" s="6" t="s">
        <v>813</v>
      </c>
      <c r="G964" s="5" t="s">
        <v>641</v>
      </c>
      <c r="H964" s="6" t="s">
        <v>20</v>
      </c>
      <c r="I964" s="5" t="s">
        <v>21</v>
      </c>
      <c r="J964" s="4" t="s">
        <v>22</v>
      </c>
      <c r="K964" s="2" t="s">
        <v>23</v>
      </c>
      <c r="L964" s="6" t="s">
        <v>24</v>
      </c>
      <c r="M964" s="5" t="s">
        <v>25</v>
      </c>
      <c r="N964" s="3" t="s">
        <v>26</v>
      </c>
      <c r="O964" s="5">
        <v>4</v>
      </c>
      <c r="P964" s="3" t="s">
        <v>23</v>
      </c>
      <c r="Q964" s="5"/>
    </row>
    <row r="965" spans="1:17" ht="46.5">
      <c r="A965" s="5">
        <v>960</v>
      </c>
      <c r="B965" s="6" t="s">
        <v>16</v>
      </c>
      <c r="C965" s="5" t="str">
        <f>HYPERLINK("http://data.overheid.nl/data/dataset/weggeg-verlichtingen-kenmerk","Weggeg verlichtingen kenmerk")</f>
        <v>Weggeg verlichtingen kenmerk</v>
      </c>
      <c r="D965" s="6" t="s">
        <v>17</v>
      </c>
      <c r="E965" s="5" t="s">
        <v>18</v>
      </c>
      <c r="F965" s="6" t="s">
        <v>813</v>
      </c>
      <c r="G965" s="5" t="s">
        <v>641</v>
      </c>
      <c r="H965" s="6" t="s">
        <v>20</v>
      </c>
      <c r="I965" s="5" t="s">
        <v>21</v>
      </c>
      <c r="J965" s="4" t="s">
        <v>22</v>
      </c>
      <c r="K965" s="2" t="s">
        <v>23</v>
      </c>
      <c r="L965" s="6" t="s">
        <v>24</v>
      </c>
      <c r="M965" s="5" t="s">
        <v>25</v>
      </c>
      <c r="N965" s="3" t="s">
        <v>26</v>
      </c>
      <c r="O965" s="5">
        <v>4</v>
      </c>
      <c r="P965" s="3" t="s">
        <v>23</v>
      </c>
      <c r="Q965" s="5"/>
    </row>
    <row r="966" spans="1:17" ht="46.5">
      <c r="A966" s="5">
        <v>961</v>
      </c>
      <c r="B966" s="6" t="s">
        <v>16</v>
      </c>
      <c r="C966" s="5" t="str">
        <f>HYPERLINK("http://data.overheid.nl/data/dataset/weggeg-rijstroken-kenmerk","Weggeg rijstroken kenmerk")</f>
        <v>Weggeg rijstroken kenmerk</v>
      </c>
      <c r="D966" s="6" t="s">
        <v>17</v>
      </c>
      <c r="E966" s="5" t="s">
        <v>18</v>
      </c>
      <c r="F966" s="6" t="s">
        <v>813</v>
      </c>
      <c r="G966" s="5" t="s">
        <v>641</v>
      </c>
      <c r="H966" s="6" t="s">
        <v>20</v>
      </c>
      <c r="I966" s="5" t="s">
        <v>21</v>
      </c>
      <c r="J966" s="4" t="s">
        <v>22</v>
      </c>
      <c r="K966" s="2" t="s">
        <v>23</v>
      </c>
      <c r="L966" s="6" t="s">
        <v>24</v>
      </c>
      <c r="M966" s="5" t="s">
        <v>25</v>
      </c>
      <c r="N966" s="3" t="s">
        <v>26</v>
      </c>
      <c r="O966" s="5">
        <v>4</v>
      </c>
      <c r="P966" s="3" t="s">
        <v>23</v>
      </c>
      <c r="Q966" s="5"/>
    </row>
    <row r="967" spans="1:17" ht="46.5">
      <c r="A967" s="5">
        <v>962</v>
      </c>
      <c r="B967" s="6" t="s">
        <v>16</v>
      </c>
      <c r="C967" s="5" t="str">
        <f>HYPERLINK("http://data.overheid.nl/data/dataset/weggeg-kantstroken-kenmerk","Weggeg kantstroken kenmerk")</f>
        <v>Weggeg kantstroken kenmerk</v>
      </c>
      <c r="D967" s="6" t="s">
        <v>17</v>
      </c>
      <c r="E967" s="5" t="s">
        <v>18</v>
      </c>
      <c r="F967" s="6" t="s">
        <v>813</v>
      </c>
      <c r="G967" s="5" t="s">
        <v>641</v>
      </c>
      <c r="H967" s="6" t="s">
        <v>20</v>
      </c>
      <c r="I967" s="5" t="s">
        <v>21</v>
      </c>
      <c r="J967" s="4" t="s">
        <v>22</v>
      </c>
      <c r="K967" s="2" t="s">
        <v>23</v>
      </c>
      <c r="L967" s="6" t="s">
        <v>24</v>
      </c>
      <c r="M967" s="5" t="s">
        <v>25</v>
      </c>
      <c r="N967" s="3" t="s">
        <v>26</v>
      </c>
      <c r="O967" s="5">
        <v>4</v>
      </c>
      <c r="P967" s="3" t="s">
        <v>23</v>
      </c>
      <c r="Q967" s="5"/>
    </row>
    <row r="968" spans="1:17" ht="46.5">
      <c r="A968" s="5">
        <v>963</v>
      </c>
      <c r="B968" s="6" t="s">
        <v>16</v>
      </c>
      <c r="C968" s="5" t="str">
        <f>HYPERLINK("http://data.overheid.nl/data/dataset/weggeg-mengstroken-kenmerk","Weggeg mengstroken kenmerk")</f>
        <v>Weggeg mengstroken kenmerk</v>
      </c>
      <c r="D968" s="6" t="s">
        <v>17</v>
      </c>
      <c r="E968" s="5" t="s">
        <v>18</v>
      </c>
      <c r="F968" s="6" t="s">
        <v>813</v>
      </c>
      <c r="G968" s="5" t="s">
        <v>641</v>
      </c>
      <c r="H968" s="6" t="s">
        <v>20</v>
      </c>
      <c r="I968" s="5" t="s">
        <v>21</v>
      </c>
      <c r="J968" s="4" t="s">
        <v>22</v>
      </c>
      <c r="K968" s="2" t="s">
        <v>23</v>
      </c>
      <c r="L968" s="6" t="s">
        <v>24</v>
      </c>
      <c r="M968" s="5" t="s">
        <v>25</v>
      </c>
      <c r="N968" s="3" t="s">
        <v>26</v>
      </c>
      <c r="O968" s="5">
        <v>4</v>
      </c>
      <c r="P968" s="3" t="s">
        <v>23</v>
      </c>
      <c r="Q968" s="5"/>
    </row>
    <row r="969" spans="1:17" ht="62">
      <c r="A969" s="5">
        <v>964</v>
      </c>
      <c r="B969" s="6" t="s">
        <v>16</v>
      </c>
      <c r="C969" s="5" t="str">
        <f>HYPERLINK("http://data.overheid.nl/data/dataset/weggeg-signaleringen-punt-wegvak","Weggeg signaleringen punt wegvak")</f>
        <v>Weggeg signaleringen punt wegvak</v>
      </c>
      <c r="D969" s="6" t="s">
        <v>17</v>
      </c>
      <c r="E969" s="5" t="s">
        <v>18</v>
      </c>
      <c r="F969" s="6" t="s">
        <v>813</v>
      </c>
      <c r="G969" s="5" t="s">
        <v>642</v>
      </c>
      <c r="H969" s="6" t="s">
        <v>20</v>
      </c>
      <c r="I969" s="5" t="s">
        <v>21</v>
      </c>
      <c r="J969" s="4" t="s">
        <v>22</v>
      </c>
      <c r="K969" s="2" t="s">
        <v>23</v>
      </c>
      <c r="L969" s="6" t="s">
        <v>24</v>
      </c>
      <c r="M969" s="5" t="s">
        <v>25</v>
      </c>
      <c r="N969" s="3" t="s">
        <v>26</v>
      </c>
      <c r="O969" s="5">
        <v>3</v>
      </c>
      <c r="P969" s="3" t="s">
        <v>23</v>
      </c>
      <c r="Q969" s="5"/>
    </row>
    <row r="970" spans="1:17" ht="62">
      <c r="A970" s="5">
        <v>965</v>
      </c>
      <c r="B970" s="6" t="s">
        <v>16</v>
      </c>
      <c r="C970" s="5" t="str">
        <f>HYPERLINK("http://data.overheid.nl/data/dataset/weggeg-wegcategorieen-formeel-wegvak","Weggeg wegcategorieen formeel wegvak")</f>
        <v>Weggeg wegcategorieen formeel wegvak</v>
      </c>
      <c r="D970" s="6" t="s">
        <v>17</v>
      </c>
      <c r="E970" s="5" t="s">
        <v>18</v>
      </c>
      <c r="F970" s="6" t="s">
        <v>813</v>
      </c>
      <c r="G970" s="5" t="s">
        <v>642</v>
      </c>
      <c r="H970" s="6" t="s">
        <v>20</v>
      </c>
      <c r="I970" s="5" t="s">
        <v>21</v>
      </c>
      <c r="J970" s="4" t="s">
        <v>22</v>
      </c>
      <c r="K970" s="2" t="s">
        <v>23</v>
      </c>
      <c r="L970" s="6" t="s">
        <v>24</v>
      </c>
      <c r="M970" s="5" t="s">
        <v>25</v>
      </c>
      <c r="N970" s="3" t="s">
        <v>26</v>
      </c>
      <c r="O970" s="5">
        <v>3</v>
      </c>
      <c r="P970" s="3" t="s">
        <v>23</v>
      </c>
      <c r="Q970" s="5"/>
    </row>
    <row r="971" spans="1:17" ht="62">
      <c r="A971" s="5">
        <v>966</v>
      </c>
      <c r="B971" s="6" t="s">
        <v>16</v>
      </c>
      <c r="C971" s="5" t="str">
        <f>HYPERLINK("http://data.overheid.nl/data/dataset/weggeg-wegcategorieen-beleving-wegvak","Weggeg wegcategorieen beleving wegvak")</f>
        <v>Weggeg wegcategorieen beleving wegvak</v>
      </c>
      <c r="D971" s="6" t="s">
        <v>17</v>
      </c>
      <c r="E971" s="5" t="s">
        <v>18</v>
      </c>
      <c r="F971" s="6" t="s">
        <v>813</v>
      </c>
      <c r="G971" s="5" t="s">
        <v>642</v>
      </c>
      <c r="H971" s="6" t="s">
        <v>20</v>
      </c>
      <c r="I971" s="5" t="s">
        <v>21</v>
      </c>
      <c r="J971" s="4" t="s">
        <v>22</v>
      </c>
      <c r="K971" s="2" t="s">
        <v>23</v>
      </c>
      <c r="L971" s="6" t="s">
        <v>24</v>
      </c>
      <c r="M971" s="5" t="s">
        <v>25</v>
      </c>
      <c r="N971" s="3" t="s">
        <v>26</v>
      </c>
      <c r="O971" s="5">
        <v>3</v>
      </c>
      <c r="P971" s="3" t="s">
        <v>23</v>
      </c>
      <c r="Q971" s="5"/>
    </row>
    <row r="972" spans="1:17" ht="62">
      <c r="A972" s="5">
        <v>967</v>
      </c>
      <c r="B972" s="6" t="s">
        <v>16</v>
      </c>
      <c r="C972" s="5" t="str">
        <f>HYPERLINK("http://data.overheid.nl/data/dataset/weggeg-portalen-wegvak","Weggeg portalen wegvak")</f>
        <v>Weggeg portalen wegvak</v>
      </c>
      <c r="D972" s="6" t="s">
        <v>17</v>
      </c>
      <c r="E972" s="5" t="s">
        <v>18</v>
      </c>
      <c r="F972" s="6" t="s">
        <v>813</v>
      </c>
      <c r="G972" s="5" t="s">
        <v>642</v>
      </c>
      <c r="H972" s="6" t="s">
        <v>20</v>
      </c>
      <c r="I972" s="5" t="s">
        <v>21</v>
      </c>
      <c r="J972" s="4" t="s">
        <v>22</v>
      </c>
      <c r="K972" s="2" t="s">
        <v>23</v>
      </c>
      <c r="L972" s="6" t="s">
        <v>24</v>
      </c>
      <c r="M972" s="5" t="s">
        <v>25</v>
      </c>
      <c r="N972" s="3" t="s">
        <v>26</v>
      </c>
      <c r="O972" s="5">
        <v>3</v>
      </c>
      <c r="P972" s="3" t="s">
        <v>23</v>
      </c>
      <c r="Q972" s="5"/>
    </row>
    <row r="973" spans="1:17" ht="62">
      <c r="A973" s="5">
        <v>968</v>
      </c>
      <c r="B973" s="6" t="s">
        <v>16</v>
      </c>
      <c r="C973" s="5" t="str">
        <f>HYPERLINK("http://data.overheid.nl/data/dataset/weggeg-kunstwerken-in-de-weg-wegvak","Weggeg kunstwerken in de weg wegvak")</f>
        <v>Weggeg kunstwerken in de weg wegvak</v>
      </c>
      <c r="D973" s="6" t="s">
        <v>17</v>
      </c>
      <c r="E973" s="5" t="s">
        <v>18</v>
      </c>
      <c r="F973" s="6" t="s">
        <v>813</v>
      </c>
      <c r="G973" s="5" t="s">
        <v>642</v>
      </c>
      <c r="H973" s="6" t="s">
        <v>20</v>
      </c>
      <c r="I973" s="5" t="s">
        <v>21</v>
      </c>
      <c r="J973" s="4" t="s">
        <v>22</v>
      </c>
      <c r="K973" s="2" t="s">
        <v>23</v>
      </c>
      <c r="L973" s="6" t="s">
        <v>24</v>
      </c>
      <c r="M973" s="5" t="s">
        <v>25</v>
      </c>
      <c r="N973" s="3" t="s">
        <v>26</v>
      </c>
      <c r="O973" s="5">
        <v>3</v>
      </c>
      <c r="P973" s="3" t="s">
        <v>23</v>
      </c>
      <c r="Q973" s="5"/>
    </row>
    <row r="974" spans="1:17" ht="62">
      <c r="A974" s="5">
        <v>969</v>
      </c>
      <c r="B974" s="6" t="s">
        <v>16</v>
      </c>
      <c r="C974" s="5" t="str">
        <f>HYPERLINK("http://data.overheid.nl/data/dataset/weggeg-geluidsbeperkingen-wegvak","Weggeg geluidsbeperkingen wegvak")</f>
        <v>Weggeg geluidsbeperkingen wegvak</v>
      </c>
      <c r="D974" s="6" t="s">
        <v>17</v>
      </c>
      <c r="E974" s="5" t="s">
        <v>18</v>
      </c>
      <c r="F974" s="6" t="s">
        <v>813</v>
      </c>
      <c r="G974" s="5" t="s">
        <v>642</v>
      </c>
      <c r="H974" s="6" t="s">
        <v>20</v>
      </c>
      <c r="I974" s="5" t="s">
        <v>21</v>
      </c>
      <c r="J974" s="4" t="s">
        <v>22</v>
      </c>
      <c r="K974" s="2" t="s">
        <v>23</v>
      </c>
      <c r="L974" s="6" t="s">
        <v>24</v>
      </c>
      <c r="M974" s="5" t="s">
        <v>25</v>
      </c>
      <c r="N974" s="3" t="s">
        <v>26</v>
      </c>
      <c r="O974" s="5">
        <v>3</v>
      </c>
      <c r="P974" s="3" t="s">
        <v>23</v>
      </c>
      <c r="Q974" s="5"/>
    </row>
    <row r="975" spans="1:17" ht="62">
      <c r="A975" s="5">
        <v>970</v>
      </c>
      <c r="B975" s="6" t="s">
        <v>16</v>
      </c>
      <c r="C975" s="5" t="str">
        <f>HYPERLINK("http://data.overheid.nl/data/dataset/weggeg-strooksignaleringen-punt-wegvak","Weggeg strooksignaleringen punt wegvak")</f>
        <v>Weggeg strooksignaleringen punt wegvak</v>
      </c>
      <c r="D975" s="6" t="s">
        <v>17</v>
      </c>
      <c r="E975" s="5" t="s">
        <v>18</v>
      </c>
      <c r="F975" s="6" t="s">
        <v>813</v>
      </c>
      <c r="G975" s="5" t="s">
        <v>642</v>
      </c>
      <c r="H975" s="6" t="s">
        <v>20</v>
      </c>
      <c r="I975" s="5" t="s">
        <v>21</v>
      </c>
      <c r="J975" s="4" t="s">
        <v>22</v>
      </c>
      <c r="K975" s="2" t="s">
        <v>23</v>
      </c>
      <c r="L975" s="6" t="s">
        <v>24</v>
      </c>
      <c r="M975" s="5" t="s">
        <v>25</v>
      </c>
      <c r="N975" s="3" t="s">
        <v>26</v>
      </c>
      <c r="O975" s="5">
        <v>3</v>
      </c>
      <c r="P975" s="3" t="s">
        <v>23</v>
      </c>
      <c r="Q975" s="5"/>
    </row>
    <row r="976" spans="1:17" ht="62">
      <c r="A976" s="5">
        <v>971</v>
      </c>
      <c r="B976" s="6" t="s">
        <v>16</v>
      </c>
      <c r="C976" s="5" t="str">
        <f>HYPERLINK("http://data.overheid.nl/data/dataset/weggeg-spoorovergangen-wegvak","Weggeg spoorovergangen wegvak")</f>
        <v>Weggeg spoorovergangen wegvak</v>
      </c>
      <c r="D976" s="6" t="s">
        <v>17</v>
      </c>
      <c r="E976" s="5" t="s">
        <v>18</v>
      </c>
      <c r="F976" s="6" t="s">
        <v>813</v>
      </c>
      <c r="G976" s="5" t="s">
        <v>642</v>
      </c>
      <c r="H976" s="6" t="s">
        <v>20</v>
      </c>
      <c r="I976" s="5" t="s">
        <v>21</v>
      </c>
      <c r="J976" s="4" t="s">
        <v>22</v>
      </c>
      <c r="K976" s="2" t="s">
        <v>23</v>
      </c>
      <c r="L976" s="6" t="s">
        <v>24</v>
      </c>
      <c r="M976" s="5" t="s">
        <v>25</v>
      </c>
      <c r="N976" s="3" t="s">
        <v>26</v>
      </c>
      <c r="O976" s="5">
        <v>3</v>
      </c>
      <c r="P976" s="3" t="s">
        <v>23</v>
      </c>
      <c r="Q976" s="5"/>
    </row>
    <row r="977" spans="1:17" ht="62">
      <c r="A977" s="5">
        <v>972</v>
      </c>
      <c r="B977" s="6" t="s">
        <v>16</v>
      </c>
      <c r="C977" s="5" t="str">
        <f>HYPERLINK("http://data.overheid.nl/data/dataset/weggeg-verhardingen-wegvak","Weggeg verhardingen wegvak")</f>
        <v>Weggeg verhardingen wegvak</v>
      </c>
      <c r="D977" s="6" t="s">
        <v>17</v>
      </c>
      <c r="E977" s="5" t="s">
        <v>18</v>
      </c>
      <c r="F977" s="6" t="s">
        <v>813</v>
      </c>
      <c r="G977" s="5" t="s">
        <v>642</v>
      </c>
      <c r="H977" s="6" t="s">
        <v>20</v>
      </c>
      <c r="I977" s="5" t="s">
        <v>21</v>
      </c>
      <c r="J977" s="4" t="s">
        <v>22</v>
      </c>
      <c r="K977" s="2" t="s">
        <v>23</v>
      </c>
      <c r="L977" s="6" t="s">
        <v>24</v>
      </c>
      <c r="M977" s="5" t="s">
        <v>25</v>
      </c>
      <c r="N977" s="3" t="s">
        <v>26</v>
      </c>
      <c r="O977" s="5">
        <v>3</v>
      </c>
      <c r="P977" s="3" t="s">
        <v>23</v>
      </c>
      <c r="Q977" s="5"/>
    </row>
    <row r="978" spans="1:17" ht="62">
      <c r="A978" s="5">
        <v>973</v>
      </c>
      <c r="B978" s="6" t="s">
        <v>16</v>
      </c>
      <c r="C978" s="5" t="str">
        <f>HYPERLINK("http://data.overheid.nl/data/dataset/weggeg-inhaalverboden-wegvak","Weggeg inhaalverboden wegvak")</f>
        <v>Weggeg inhaalverboden wegvak</v>
      </c>
      <c r="D978" s="6" t="s">
        <v>17</v>
      </c>
      <c r="E978" s="5" t="s">
        <v>18</v>
      </c>
      <c r="F978" s="6" t="s">
        <v>813</v>
      </c>
      <c r="G978" s="5" t="s">
        <v>642</v>
      </c>
      <c r="H978" s="6" t="s">
        <v>20</v>
      </c>
      <c r="I978" s="5" t="s">
        <v>21</v>
      </c>
      <c r="J978" s="4" t="s">
        <v>22</v>
      </c>
      <c r="K978" s="2" t="s">
        <v>23</v>
      </c>
      <c r="L978" s="6" t="s">
        <v>24</v>
      </c>
      <c r="M978" s="5" t="s">
        <v>25</v>
      </c>
      <c r="N978" s="3" t="s">
        <v>26</v>
      </c>
      <c r="O978" s="5">
        <v>3</v>
      </c>
      <c r="P978" s="3" t="s">
        <v>23</v>
      </c>
      <c r="Q978" s="5"/>
    </row>
    <row r="979" spans="1:17" ht="62">
      <c r="A979" s="5">
        <v>974</v>
      </c>
      <c r="B979" s="6" t="s">
        <v>16</v>
      </c>
      <c r="C979" s="5" t="str">
        <f>HYPERLINK("http://data.overheid.nl/data/dataset/weggeg-kunstwerken-over-de-weg-wegvak","Weggeg kunstwerken over de weg wegvak")</f>
        <v>Weggeg kunstwerken over de weg wegvak</v>
      </c>
      <c r="D979" s="6" t="s">
        <v>17</v>
      </c>
      <c r="E979" s="5" t="s">
        <v>18</v>
      </c>
      <c r="F979" s="6" t="s">
        <v>813</v>
      </c>
      <c r="G979" s="5" t="s">
        <v>642</v>
      </c>
      <c r="H979" s="6" t="s">
        <v>20</v>
      </c>
      <c r="I979" s="5" t="s">
        <v>21</v>
      </c>
      <c r="J979" s="4" t="s">
        <v>22</v>
      </c>
      <c r="K979" s="2" t="s">
        <v>23</v>
      </c>
      <c r="L979" s="6" t="s">
        <v>24</v>
      </c>
      <c r="M979" s="5" t="s">
        <v>25</v>
      </c>
      <c r="N979" s="3" t="s">
        <v>26</v>
      </c>
      <c r="O979" s="5">
        <v>3</v>
      </c>
      <c r="P979" s="3" t="s">
        <v>23</v>
      </c>
      <c r="Q979" s="5"/>
    </row>
    <row r="980" spans="1:17" ht="62">
      <c r="A980" s="5">
        <v>975</v>
      </c>
      <c r="B980" s="6" t="s">
        <v>16</v>
      </c>
      <c r="C980" s="5" t="str">
        <f>HYPERLINK("http://data.overheid.nl/data/dataset/weggeg-kruispunten-wegvak","Weggeg kruispunten wegvak")</f>
        <v>Weggeg kruispunten wegvak</v>
      </c>
      <c r="D980" s="6" t="s">
        <v>17</v>
      </c>
      <c r="E980" s="5" t="s">
        <v>18</v>
      </c>
      <c r="F980" s="6" t="s">
        <v>813</v>
      </c>
      <c r="G980" s="5" t="s">
        <v>642</v>
      </c>
      <c r="H980" s="6" t="s">
        <v>20</v>
      </c>
      <c r="I980" s="5" t="s">
        <v>21</v>
      </c>
      <c r="J980" s="4" t="s">
        <v>22</v>
      </c>
      <c r="K980" s="2" t="s">
        <v>23</v>
      </c>
      <c r="L980" s="6" t="s">
        <v>24</v>
      </c>
      <c r="M980" s="5" t="s">
        <v>25</v>
      </c>
      <c r="N980" s="3" t="s">
        <v>26</v>
      </c>
      <c r="O980" s="5">
        <v>3</v>
      </c>
      <c r="P980" s="3" t="s">
        <v>23</v>
      </c>
      <c r="Q980" s="5"/>
    </row>
    <row r="981" spans="1:17" ht="62">
      <c r="A981" s="5">
        <v>976</v>
      </c>
      <c r="B981" s="6" t="s">
        <v>16</v>
      </c>
      <c r="C981" s="5" t="str">
        <f>HYPERLINK("http://data.overheid.nl/data/dataset/weggeg-wegbermen-wegvak","Weggeg wegbermen wegvak")</f>
        <v>Weggeg wegbermen wegvak</v>
      </c>
      <c r="D981" s="6" t="s">
        <v>17</v>
      </c>
      <c r="E981" s="5" t="s">
        <v>18</v>
      </c>
      <c r="F981" s="6" t="s">
        <v>813</v>
      </c>
      <c r="G981" s="5" t="s">
        <v>642</v>
      </c>
      <c r="H981" s="6" t="s">
        <v>20</v>
      </c>
      <c r="I981" s="5" t="s">
        <v>21</v>
      </c>
      <c r="J981" s="4" t="s">
        <v>22</v>
      </c>
      <c r="K981" s="2" t="s">
        <v>23</v>
      </c>
      <c r="L981" s="6" t="s">
        <v>24</v>
      </c>
      <c r="M981" s="5" t="s">
        <v>25</v>
      </c>
      <c r="N981" s="3" t="s">
        <v>26</v>
      </c>
      <c r="O981" s="5">
        <v>3</v>
      </c>
      <c r="P981" s="3" t="s">
        <v>23</v>
      </c>
      <c r="Q981" s="5"/>
    </row>
    <row r="982" spans="1:17" ht="62">
      <c r="A982" s="5">
        <v>977</v>
      </c>
      <c r="B982" s="6" t="s">
        <v>16</v>
      </c>
      <c r="C982" s="5" t="str">
        <f>HYPERLINK("http://data.overheid.nl/data/dataset/weggeg-rijstroken-wegvak","Weggeg rijstroken wegvak")</f>
        <v>Weggeg rijstroken wegvak</v>
      </c>
      <c r="D982" s="6" t="s">
        <v>17</v>
      </c>
      <c r="E982" s="5" t="s">
        <v>18</v>
      </c>
      <c r="F982" s="6" t="s">
        <v>813</v>
      </c>
      <c r="G982" s="5" t="s">
        <v>642</v>
      </c>
      <c r="H982" s="6" t="s">
        <v>20</v>
      </c>
      <c r="I982" s="5" t="s">
        <v>21</v>
      </c>
      <c r="J982" s="4" t="s">
        <v>22</v>
      </c>
      <c r="K982" s="2" t="s">
        <v>23</v>
      </c>
      <c r="L982" s="6" t="s">
        <v>24</v>
      </c>
      <c r="M982" s="5" t="s">
        <v>25</v>
      </c>
      <c r="N982" s="3" t="s">
        <v>26</v>
      </c>
      <c r="O982" s="5">
        <v>3</v>
      </c>
      <c r="P982" s="3" t="s">
        <v>23</v>
      </c>
      <c r="Q982" s="5"/>
    </row>
    <row r="983" spans="1:17" ht="62">
      <c r="A983" s="5">
        <v>978</v>
      </c>
      <c r="B983" s="6" t="s">
        <v>16</v>
      </c>
      <c r="C983" s="5" t="str">
        <f>HYPERLINK("http://data.overheid.nl/data/dataset/weggeg-lichtmasten-wegvak","Weggeg lichtmasten wegvak")</f>
        <v>Weggeg lichtmasten wegvak</v>
      </c>
      <c r="D983" s="6" t="s">
        <v>17</v>
      </c>
      <c r="E983" s="5" t="s">
        <v>18</v>
      </c>
      <c r="F983" s="6" t="s">
        <v>813</v>
      </c>
      <c r="G983" s="5" t="s">
        <v>642</v>
      </c>
      <c r="H983" s="6" t="s">
        <v>20</v>
      </c>
      <c r="I983" s="5" t="s">
        <v>21</v>
      </c>
      <c r="J983" s="4" t="s">
        <v>22</v>
      </c>
      <c r="K983" s="2" t="s">
        <v>23</v>
      </c>
      <c r="L983" s="6" t="s">
        <v>24</v>
      </c>
      <c r="M983" s="5" t="s">
        <v>25</v>
      </c>
      <c r="N983" s="3" t="s">
        <v>26</v>
      </c>
      <c r="O983" s="5">
        <v>3</v>
      </c>
      <c r="P983" s="3" t="s">
        <v>23</v>
      </c>
      <c r="Q983" s="5"/>
    </row>
    <row r="984" spans="1:17" ht="62">
      <c r="A984" s="5">
        <v>979</v>
      </c>
      <c r="B984" s="6" t="s">
        <v>16</v>
      </c>
      <c r="C984" s="5" t="str">
        <f>HYPERLINK("http://data.overheid.nl/data/dataset/weggeg-rijstroken-wegvak-01","Weggeg rijstroken wegvak")</f>
        <v>Weggeg rijstroken wegvak</v>
      </c>
      <c r="D984" s="6" t="s">
        <v>17</v>
      </c>
      <c r="E984" s="5" t="s">
        <v>18</v>
      </c>
      <c r="F984" s="6" t="s">
        <v>813</v>
      </c>
      <c r="G984" s="5" t="s">
        <v>642</v>
      </c>
      <c r="H984" s="6" t="s">
        <v>20</v>
      </c>
      <c r="I984" s="5" t="s">
        <v>21</v>
      </c>
      <c r="J984" s="4" t="s">
        <v>22</v>
      </c>
      <c r="K984" s="2" t="s">
        <v>23</v>
      </c>
      <c r="L984" s="6" t="s">
        <v>24</v>
      </c>
      <c r="M984" s="5" t="s">
        <v>25</v>
      </c>
      <c r="N984" s="3" t="s">
        <v>26</v>
      </c>
      <c r="O984" s="5">
        <v>3</v>
      </c>
      <c r="P984" s="3" t="s">
        <v>23</v>
      </c>
      <c r="Q984" s="5"/>
    </row>
    <row r="985" spans="1:17" ht="62">
      <c r="A985" s="5">
        <v>980</v>
      </c>
      <c r="B985" s="6" t="s">
        <v>16</v>
      </c>
      <c r="C985" s="5" t="str">
        <f>HYPERLINK("http://data.overheid.nl/data/dataset/weggeg-divergenties-wegvak","Weggeg divergenties wegvak")</f>
        <v>Weggeg divergenties wegvak</v>
      </c>
      <c r="D985" s="6" t="s">
        <v>17</v>
      </c>
      <c r="E985" s="5" t="s">
        <v>18</v>
      </c>
      <c r="F985" s="6" t="s">
        <v>813</v>
      </c>
      <c r="G985" s="5" t="s">
        <v>642</v>
      </c>
      <c r="H985" s="6" t="s">
        <v>20</v>
      </c>
      <c r="I985" s="5" t="s">
        <v>21</v>
      </c>
      <c r="J985" s="4" t="s">
        <v>22</v>
      </c>
      <c r="K985" s="2" t="s">
        <v>23</v>
      </c>
      <c r="L985" s="6" t="s">
        <v>24</v>
      </c>
      <c r="M985" s="5" t="s">
        <v>25</v>
      </c>
      <c r="N985" s="3" t="s">
        <v>26</v>
      </c>
      <c r="O985" s="5">
        <v>3</v>
      </c>
      <c r="P985" s="3" t="s">
        <v>23</v>
      </c>
      <c r="Q985" s="5"/>
    </row>
    <row r="986" spans="1:17" ht="62">
      <c r="A986" s="5">
        <v>981</v>
      </c>
      <c r="B986" s="6" t="s">
        <v>16</v>
      </c>
      <c r="C986" s="5" t="str">
        <f>HYPERLINK("http://data.overheid.nl/data/dataset/weggeg-kantstroken-wegvak","Weggeg kantstroken wegvak")</f>
        <v>Weggeg kantstroken wegvak</v>
      </c>
      <c r="D986" s="6" t="s">
        <v>17</v>
      </c>
      <c r="E986" s="5" t="s">
        <v>18</v>
      </c>
      <c r="F986" s="6" t="s">
        <v>813</v>
      </c>
      <c r="G986" s="5" t="s">
        <v>642</v>
      </c>
      <c r="H986" s="6" t="s">
        <v>20</v>
      </c>
      <c r="I986" s="5" t="s">
        <v>21</v>
      </c>
      <c r="J986" s="4" t="s">
        <v>22</v>
      </c>
      <c r="K986" s="2" t="s">
        <v>23</v>
      </c>
      <c r="L986" s="6" t="s">
        <v>24</v>
      </c>
      <c r="M986" s="5" t="s">
        <v>25</v>
      </c>
      <c r="N986" s="3" t="s">
        <v>26</v>
      </c>
      <c r="O986" s="5">
        <v>3</v>
      </c>
      <c r="P986" s="3" t="s">
        <v>23</v>
      </c>
      <c r="Q986" s="5"/>
    </row>
    <row r="987" spans="1:17" ht="62">
      <c r="A987" s="5">
        <v>982</v>
      </c>
      <c r="B987" s="6" t="s">
        <v>16</v>
      </c>
      <c r="C987" s="5" t="str">
        <f>HYPERLINK("http://data.overheid.nl/data/dataset/weggeg-convergenties-wegvak","Weggeg convergenties wegvak")</f>
        <v>Weggeg convergenties wegvak</v>
      </c>
      <c r="D987" s="6" t="s">
        <v>17</v>
      </c>
      <c r="E987" s="5" t="s">
        <v>18</v>
      </c>
      <c r="F987" s="6" t="s">
        <v>813</v>
      </c>
      <c r="G987" s="5" t="s">
        <v>642</v>
      </c>
      <c r="H987" s="6" t="s">
        <v>20</v>
      </c>
      <c r="I987" s="5" t="s">
        <v>21</v>
      </c>
      <c r="J987" s="4" t="s">
        <v>22</v>
      </c>
      <c r="K987" s="2" t="s">
        <v>23</v>
      </c>
      <c r="L987" s="6" t="s">
        <v>24</v>
      </c>
      <c r="M987" s="5" t="s">
        <v>25</v>
      </c>
      <c r="N987" s="3" t="s">
        <v>26</v>
      </c>
      <c r="O987" s="5">
        <v>3</v>
      </c>
      <c r="P987" s="3" t="s">
        <v>23</v>
      </c>
      <c r="Q987" s="5"/>
    </row>
    <row r="988" spans="1:17" ht="31">
      <c r="A988" s="5">
        <v>983</v>
      </c>
      <c r="B988" s="6" t="s">
        <v>16</v>
      </c>
      <c r="C988" s="5" t="str">
        <f>HYPERLINK("http://data.overheid.nl/data/dataset/wegkenmerk-adviessnelheden-op-het-hoofdwegennet-wegvak","Wegkenmerk Adviessnelheden op het hoofdwegennet wegvak")</f>
        <v>Wegkenmerk Adviessnelheden op het hoofdwegennet wegvak</v>
      </c>
      <c r="D988" s="6" t="s">
        <v>17</v>
      </c>
      <c r="E988" s="5" t="s">
        <v>18</v>
      </c>
      <c r="F988" s="6" t="s">
        <v>813</v>
      </c>
      <c r="G988" s="5" t="s">
        <v>643</v>
      </c>
      <c r="H988" s="6" t="s">
        <v>20</v>
      </c>
      <c r="I988" s="5" t="s">
        <v>21</v>
      </c>
      <c r="J988" s="4" t="s">
        <v>22</v>
      </c>
      <c r="K988" s="2" t="s">
        <v>23</v>
      </c>
      <c r="L988" s="6" t="s">
        <v>24</v>
      </c>
      <c r="M988" s="5" t="s">
        <v>25</v>
      </c>
      <c r="N988" s="3" t="s">
        <v>26</v>
      </c>
      <c r="O988" s="5">
        <v>3</v>
      </c>
      <c r="P988" s="3" t="s">
        <v>23</v>
      </c>
      <c r="Q988" s="5"/>
    </row>
    <row r="989" spans="1:17" ht="77.5">
      <c r="A989" s="5">
        <v>984</v>
      </c>
      <c r="B989" s="6" t="s">
        <v>16</v>
      </c>
      <c r="C989" s="5" t="str">
        <f>HYPERLINK("http://data.overheid.nl/data/dataset/weggeg-doelgroepstroken-wegvak","Weggeg doelgroepstroken wegvak")</f>
        <v>Weggeg doelgroepstroken wegvak</v>
      </c>
      <c r="D989" s="6" t="s">
        <v>17</v>
      </c>
      <c r="E989" s="5" t="s">
        <v>18</v>
      </c>
      <c r="F989" s="6" t="s">
        <v>813</v>
      </c>
      <c r="G989" s="5" t="s">
        <v>644</v>
      </c>
      <c r="H989" s="6" t="s">
        <v>20</v>
      </c>
      <c r="I989" s="5" t="s">
        <v>21</v>
      </c>
      <c r="J989" s="4" t="s">
        <v>22</v>
      </c>
      <c r="K989" s="2" t="s">
        <v>23</v>
      </c>
      <c r="L989" s="6" t="s">
        <v>24</v>
      </c>
      <c r="M989" s="5" t="s">
        <v>25</v>
      </c>
      <c r="N989" s="3" t="s">
        <v>26</v>
      </c>
      <c r="O989" s="5">
        <v>3</v>
      </c>
      <c r="P989" s="3" t="s">
        <v>23</v>
      </c>
      <c r="Q989" s="5"/>
    </row>
    <row r="990" spans="1:17" ht="93">
      <c r="A990" s="5">
        <v>985</v>
      </c>
      <c r="B990" s="6" t="s">
        <v>16</v>
      </c>
      <c r="C990" s="5" t="str">
        <f>HYPERLINK("http://data.overheid.nl/data/dataset/nationaal-wegen-bestand-spoorwegen-spoorvakken","Nationaal Wegen Bestand Spoorwegen spoorvakken")</f>
        <v>Nationaal Wegen Bestand Spoorwegen spoorvakken</v>
      </c>
      <c r="D990" s="6" t="s">
        <v>17</v>
      </c>
      <c r="E990" s="5" t="s">
        <v>18</v>
      </c>
      <c r="F990" s="6" t="s">
        <v>813</v>
      </c>
      <c r="G990" s="5" t="s">
        <v>645</v>
      </c>
      <c r="H990" s="6" t="s">
        <v>28</v>
      </c>
      <c r="I990" s="5" t="s">
        <v>21</v>
      </c>
      <c r="J990" s="4" t="s">
        <v>22</v>
      </c>
      <c r="K990" s="2" t="s">
        <v>23</v>
      </c>
      <c r="L990" s="6" t="s">
        <v>24</v>
      </c>
      <c r="M990" s="5" t="s">
        <v>25</v>
      </c>
      <c r="N990" s="3" t="s">
        <v>26</v>
      </c>
      <c r="O990" s="5">
        <v>3</v>
      </c>
      <c r="P990" s="3" t="s">
        <v>23</v>
      </c>
      <c r="Q990" s="5"/>
    </row>
    <row r="991" spans="1:17" ht="31">
      <c r="A991" s="5">
        <v>986</v>
      </c>
      <c r="B991" s="6" t="s">
        <v>16</v>
      </c>
      <c r="C991" s="5" t="str">
        <f>HYPERLINK("http://data.overheid.nl/data/dataset/vaarweg-informatie-nederland-vaarweg-karakter","Vaarweg Informatie Nederland vaarweg karakter")</f>
        <v>Vaarweg Informatie Nederland vaarweg karakter</v>
      </c>
      <c r="D991" s="6" t="s">
        <v>17</v>
      </c>
      <c r="E991" s="5" t="s">
        <v>18</v>
      </c>
      <c r="F991" s="6" t="s">
        <v>813</v>
      </c>
      <c r="G991" s="5" t="s">
        <v>646</v>
      </c>
      <c r="H991" s="6" t="s">
        <v>28</v>
      </c>
      <c r="I991" s="5" t="s">
        <v>21</v>
      </c>
      <c r="J991" s="4" t="s">
        <v>22</v>
      </c>
      <c r="K991" s="2" t="s">
        <v>23</v>
      </c>
      <c r="L991" s="6" t="s">
        <v>24</v>
      </c>
      <c r="M991" s="5" t="s">
        <v>25</v>
      </c>
      <c r="N991" s="3" t="s">
        <v>26</v>
      </c>
      <c r="O991" s="5">
        <v>3</v>
      </c>
      <c r="P991" s="3" t="s">
        <v>23</v>
      </c>
      <c r="Q991" s="5"/>
    </row>
    <row r="992" spans="1:17" ht="31">
      <c r="A992" s="5">
        <v>987</v>
      </c>
      <c r="B992" s="6" t="s">
        <v>16</v>
      </c>
      <c r="C992" s="5" t="str">
        <f>HYPERLINK("http://data.overheid.nl/data/dataset/vaarweg-informatie-nederland-trajectbeheer","Vaarweg Informatie Nederland trajectbeheer")</f>
        <v>Vaarweg Informatie Nederland trajectbeheer</v>
      </c>
      <c r="D992" s="6" t="s">
        <v>17</v>
      </c>
      <c r="E992" s="5" t="s">
        <v>18</v>
      </c>
      <c r="F992" s="6" t="s">
        <v>813</v>
      </c>
      <c r="G992" s="5" t="s">
        <v>647</v>
      </c>
      <c r="H992" s="6" t="s">
        <v>20</v>
      </c>
      <c r="I992" s="5" t="s">
        <v>21</v>
      </c>
      <c r="J992" s="4" t="s">
        <v>22</v>
      </c>
      <c r="K992" s="2" t="s">
        <v>23</v>
      </c>
      <c r="L992" s="6" t="s">
        <v>24</v>
      </c>
      <c r="M992" s="5" t="s">
        <v>25</v>
      </c>
      <c r="N992" s="3" t="s">
        <v>26</v>
      </c>
      <c r="O992" s="5">
        <v>3</v>
      </c>
      <c r="P992" s="3" t="s">
        <v>23</v>
      </c>
      <c r="Q992" s="5"/>
    </row>
    <row r="993" spans="1:17" ht="31">
      <c r="A993" s="5">
        <v>988</v>
      </c>
      <c r="B993" s="6" t="s">
        <v>16</v>
      </c>
      <c r="C993" s="5" t="str">
        <f>HYPERLINK("http://data.overheid.nl/data/dataset/vaarweg-informatie-nederland-type-vaarweg","Vaarweg Informatie Nederland type vaarweg")</f>
        <v>Vaarweg Informatie Nederland type vaarweg</v>
      </c>
      <c r="D993" s="6" t="s">
        <v>17</v>
      </c>
      <c r="E993" s="5" t="s">
        <v>18</v>
      </c>
      <c r="F993" s="6" t="s">
        <v>813</v>
      </c>
      <c r="G993" s="5" t="s">
        <v>648</v>
      </c>
      <c r="H993" s="6" t="s">
        <v>20</v>
      </c>
      <c r="I993" s="5" t="s">
        <v>21</v>
      </c>
      <c r="J993" s="4" t="s">
        <v>22</v>
      </c>
      <c r="K993" s="2" t="s">
        <v>23</v>
      </c>
      <c r="L993" s="6" t="s">
        <v>24</v>
      </c>
      <c r="M993" s="5" t="s">
        <v>25</v>
      </c>
      <c r="N993" s="3" t="s">
        <v>26</v>
      </c>
      <c r="O993" s="5">
        <v>3</v>
      </c>
      <c r="P993" s="3" t="s">
        <v>23</v>
      </c>
      <c r="Q993" s="5"/>
    </row>
    <row r="994" spans="1:17" ht="31">
      <c r="A994" s="5">
        <v>989</v>
      </c>
      <c r="B994" s="6" t="s">
        <v>16</v>
      </c>
      <c r="C994" s="5" t="str">
        <f>HYPERLINK("http://data.overheid.nl/data/dataset/vaarweg-informatie-nederland-loodsregio","Vaarweg Informatie Nederland loodsregio")</f>
        <v>Vaarweg Informatie Nederland loodsregio</v>
      </c>
      <c r="D994" s="6" t="s">
        <v>17</v>
      </c>
      <c r="E994" s="5" t="s">
        <v>18</v>
      </c>
      <c r="F994" s="6" t="s">
        <v>813</v>
      </c>
      <c r="G994" s="5" t="s">
        <v>649</v>
      </c>
      <c r="H994" s="6" t="s">
        <v>20</v>
      </c>
      <c r="I994" s="5" t="s">
        <v>21</v>
      </c>
      <c r="J994" s="4" t="s">
        <v>22</v>
      </c>
      <c r="K994" s="2" t="s">
        <v>23</v>
      </c>
      <c r="L994" s="6" t="s">
        <v>24</v>
      </c>
      <c r="M994" s="5" t="s">
        <v>25</v>
      </c>
      <c r="N994" s="3" t="s">
        <v>26</v>
      </c>
      <c r="O994" s="5">
        <v>3</v>
      </c>
      <c r="P994" s="3" t="s">
        <v>23</v>
      </c>
      <c r="Q994" s="5"/>
    </row>
    <row r="995" spans="1:17" ht="124">
      <c r="A995" s="5">
        <v>990</v>
      </c>
      <c r="B995" s="6" t="s">
        <v>16</v>
      </c>
      <c r="C995" s="5" t="str">
        <f>HYPERLINK("http://data.overheid.nl/data/dataset/vaarweg-informatie-nederland-minst-gepeilde-diepte","Vaarweg Informatie Nederland minst gepeilde diepte")</f>
        <v>Vaarweg Informatie Nederland minst gepeilde diepte</v>
      </c>
      <c r="D995" s="6" t="s">
        <v>17</v>
      </c>
      <c r="E995" s="5" t="s">
        <v>18</v>
      </c>
      <c r="F995" s="6" t="s">
        <v>813</v>
      </c>
      <c r="G995" s="5" t="s">
        <v>45</v>
      </c>
      <c r="H995" s="6" t="s">
        <v>20</v>
      </c>
      <c r="I995" s="5" t="s">
        <v>21</v>
      </c>
      <c r="J995" s="4" t="s">
        <v>22</v>
      </c>
      <c r="K995" s="2" t="s">
        <v>23</v>
      </c>
      <c r="L995" s="6" t="s">
        <v>24</v>
      </c>
      <c r="M995" s="5" t="s">
        <v>25</v>
      </c>
      <c r="N995" s="3" t="s">
        <v>26</v>
      </c>
      <c r="O995" s="5">
        <v>3</v>
      </c>
      <c r="P995" s="3" t="s">
        <v>23</v>
      </c>
      <c r="Q995" s="5"/>
    </row>
    <row r="996" spans="1:17" ht="31">
      <c r="A996" s="5">
        <v>991</v>
      </c>
      <c r="B996" s="6" t="s">
        <v>16</v>
      </c>
      <c r="C996" s="5" t="str">
        <f>HYPERLINK("http://data.overheid.nl/data/dataset/vaarweg-informatie-nederland-status-vaarweg","Vaarweg Informatie Nederland status vaarweg")</f>
        <v>Vaarweg Informatie Nederland status vaarweg</v>
      </c>
      <c r="D996" s="6" t="s">
        <v>17</v>
      </c>
      <c r="E996" s="5" t="s">
        <v>18</v>
      </c>
      <c r="F996" s="6" t="s">
        <v>813</v>
      </c>
      <c r="G996" s="5" t="s">
        <v>650</v>
      </c>
      <c r="H996" s="6" t="s">
        <v>20</v>
      </c>
      <c r="I996" s="5" t="s">
        <v>21</v>
      </c>
      <c r="J996" s="4" t="s">
        <v>22</v>
      </c>
      <c r="K996" s="2" t="s">
        <v>23</v>
      </c>
      <c r="L996" s="6" t="s">
        <v>24</v>
      </c>
      <c r="M996" s="5" t="s">
        <v>25</v>
      </c>
      <c r="N996" s="3" t="s">
        <v>26</v>
      </c>
      <c r="O996" s="5">
        <v>3</v>
      </c>
      <c r="P996" s="3" t="s">
        <v>23</v>
      </c>
      <c r="Q996" s="5"/>
    </row>
    <row r="997" spans="1:17" ht="46.5">
      <c r="A997" s="5">
        <v>992</v>
      </c>
      <c r="B997" s="6" t="s">
        <v>16</v>
      </c>
      <c r="C997" s="5" t="str">
        <f>HYPERLINK("http://data.overheid.nl/data/dataset/vaarweg-informatie-nederland-recreatievaartklasse","Vaarweg Informatie Nederland recreatievaartklasse")</f>
        <v>Vaarweg Informatie Nederland recreatievaartklasse</v>
      </c>
      <c r="D997" s="6" t="s">
        <v>17</v>
      </c>
      <c r="E997" s="5" t="s">
        <v>18</v>
      </c>
      <c r="F997" s="6" t="s">
        <v>813</v>
      </c>
      <c r="G997" s="5" t="s">
        <v>651</v>
      </c>
      <c r="H997" s="6" t="s">
        <v>20</v>
      </c>
      <c r="I997" s="5" t="s">
        <v>21</v>
      </c>
      <c r="J997" s="4" t="s">
        <v>22</v>
      </c>
      <c r="K997" s="2" t="s">
        <v>23</v>
      </c>
      <c r="L997" s="6" t="s">
        <v>24</v>
      </c>
      <c r="M997" s="5" t="s">
        <v>25</v>
      </c>
      <c r="N997" s="3" t="s">
        <v>26</v>
      </c>
      <c r="O997" s="5">
        <v>15</v>
      </c>
      <c r="P997" s="3" t="s">
        <v>23</v>
      </c>
      <c r="Q997" s="5"/>
    </row>
    <row r="998" spans="1:17" ht="77.5">
      <c r="A998" s="5">
        <v>993</v>
      </c>
      <c r="B998" s="6" t="s">
        <v>16</v>
      </c>
      <c r="C998" s="5" t="str">
        <f>HYPERLINK("http://data.overheid.nl/data/dataset/vaarweg-informatie-nederland-maximaal-toegestane-afmetingen","Vaarweg Informatie Nederland maximaal toegestane afmetingen")</f>
        <v>Vaarweg Informatie Nederland maximaal toegestane afmetingen</v>
      </c>
      <c r="D998" s="6" t="s">
        <v>17</v>
      </c>
      <c r="E998" s="5" t="s">
        <v>18</v>
      </c>
      <c r="F998" s="6" t="s">
        <v>813</v>
      </c>
      <c r="G998" s="5" t="s">
        <v>652</v>
      </c>
      <c r="H998" s="6" t="s">
        <v>28</v>
      </c>
      <c r="I998" s="5" t="s">
        <v>21</v>
      </c>
      <c r="J998" s="4" t="s">
        <v>22</v>
      </c>
      <c r="K998" s="2" t="s">
        <v>23</v>
      </c>
      <c r="L998" s="6" t="s">
        <v>24</v>
      </c>
      <c r="M998" s="5" t="s">
        <v>25</v>
      </c>
      <c r="N998" s="3" t="s">
        <v>26</v>
      </c>
      <c r="O998" s="5">
        <v>3</v>
      </c>
      <c r="P998" s="3" t="s">
        <v>23</v>
      </c>
      <c r="Q998" s="5"/>
    </row>
    <row r="999" spans="1:17" ht="77.5">
      <c r="A999" s="5">
        <v>994</v>
      </c>
      <c r="B999" s="6" t="s">
        <v>16</v>
      </c>
      <c r="C999" s="5" t="str">
        <f>HYPERLINK("http://data.overheid.nl/data/dataset/vaarweg-informatie-nederland-streefpeil","Vaarweg Informatie Nederland streefpeil")</f>
        <v>Vaarweg Informatie Nederland streefpeil</v>
      </c>
      <c r="D999" s="6" t="s">
        <v>17</v>
      </c>
      <c r="E999" s="5" t="s">
        <v>18</v>
      </c>
      <c r="F999" s="6" t="s">
        <v>813</v>
      </c>
      <c r="G999" s="5" t="s">
        <v>653</v>
      </c>
      <c r="H999" s="6" t="s">
        <v>20</v>
      </c>
      <c r="I999" s="5" t="s">
        <v>21</v>
      </c>
      <c r="J999" s="4" t="s">
        <v>22</v>
      </c>
      <c r="K999" s="2" t="s">
        <v>23</v>
      </c>
      <c r="L999" s="6" t="s">
        <v>24</v>
      </c>
      <c r="M999" s="5" t="s">
        <v>25</v>
      </c>
      <c r="N999" s="3" t="s">
        <v>26</v>
      </c>
      <c r="O999" s="5">
        <v>3</v>
      </c>
      <c r="P999" s="3" t="s">
        <v>23</v>
      </c>
      <c r="Q999" s="5"/>
    </row>
    <row r="1000" spans="1:17" ht="31">
      <c r="A1000" s="5">
        <v>995</v>
      </c>
      <c r="B1000" s="6" t="s">
        <v>16</v>
      </c>
      <c r="C1000" s="5" t="str">
        <f>HYPERLINK("http://data.overheid.nl/data/dataset/vaarweg-informatie-nederland-ijstraject","Vaarweg Informatie Nederland ijstraject")</f>
        <v>Vaarweg Informatie Nederland ijstraject</v>
      </c>
      <c r="D1000" s="6" t="s">
        <v>17</v>
      </c>
      <c r="E1000" s="5" t="s">
        <v>18</v>
      </c>
      <c r="F1000" s="6" t="s">
        <v>813</v>
      </c>
      <c r="G1000" s="5" t="s">
        <v>654</v>
      </c>
      <c r="H1000" s="6" t="s">
        <v>20</v>
      </c>
      <c r="I1000" s="5" t="s">
        <v>21</v>
      </c>
      <c r="J1000" s="4" t="s">
        <v>22</v>
      </c>
      <c r="K1000" s="2" t="s">
        <v>23</v>
      </c>
      <c r="L1000" s="6" t="s">
        <v>24</v>
      </c>
      <c r="M1000" s="5" t="s">
        <v>25</v>
      </c>
      <c r="N1000" s="3" t="s">
        <v>26</v>
      </c>
      <c r="O1000" s="5">
        <v>3</v>
      </c>
      <c r="P1000" s="3" t="s">
        <v>23</v>
      </c>
      <c r="Q1000" s="5"/>
    </row>
    <row r="1001" spans="1:17" ht="62">
      <c r="A1001" s="5">
        <v>996</v>
      </c>
      <c r="B1001" s="6" t="s">
        <v>16</v>
      </c>
      <c r="C1001" s="5" t="str">
        <f>HYPERLINK("http://data.overheid.nl/data/dataset/weggeg-bebouwde-kom-wegvak","Weggeg bebouwde kom wegvak")</f>
        <v>Weggeg bebouwde kom wegvak</v>
      </c>
      <c r="D1001" s="6" t="s">
        <v>17</v>
      </c>
      <c r="E1001" s="5" t="s">
        <v>18</v>
      </c>
      <c r="F1001" s="6" t="s">
        <v>813</v>
      </c>
      <c r="G1001" s="5" t="s">
        <v>642</v>
      </c>
      <c r="H1001" s="6" t="s">
        <v>20</v>
      </c>
      <c r="I1001" s="5" t="s">
        <v>21</v>
      </c>
      <c r="J1001" s="4" t="s">
        <v>22</v>
      </c>
      <c r="K1001" s="2" t="s">
        <v>23</v>
      </c>
      <c r="L1001" s="6" t="s">
        <v>24</v>
      </c>
      <c r="M1001" s="5" t="s">
        <v>25</v>
      </c>
      <c r="N1001" s="3" t="s">
        <v>26</v>
      </c>
      <c r="O1001" s="5">
        <v>3</v>
      </c>
      <c r="P1001" s="3" t="s">
        <v>23</v>
      </c>
      <c r="Q1001" s="5"/>
    </row>
    <row r="1002" spans="1:17" ht="31">
      <c r="A1002" s="5">
        <v>997</v>
      </c>
      <c r="B1002" s="6" t="s">
        <v>16</v>
      </c>
      <c r="C1002" s="5" t="str">
        <f>HYPERLINK("http://data.overheid.nl/data/dataset/wegkenmerk-adviessnelheden-op-het-hoofdwegennet","Wegkenmerk Adviessnelheden op het hoofdwegennet")</f>
        <v>Wegkenmerk Adviessnelheden op het hoofdwegennet</v>
      </c>
      <c r="D1002" s="6" t="s">
        <v>17</v>
      </c>
      <c r="E1002" s="5" t="s">
        <v>18</v>
      </c>
      <c r="F1002" s="6" t="s">
        <v>813</v>
      </c>
      <c r="G1002" s="5" t="s">
        <v>655</v>
      </c>
      <c r="H1002" s="6" t="s">
        <v>20</v>
      </c>
      <c r="I1002" s="5" t="s">
        <v>21</v>
      </c>
      <c r="J1002" s="4" t="s">
        <v>22</v>
      </c>
      <c r="K1002" s="2" t="s">
        <v>23</v>
      </c>
      <c r="L1002" s="6" t="s">
        <v>24</v>
      </c>
      <c r="M1002" s="5" t="s">
        <v>25</v>
      </c>
      <c r="N1002" s="3" t="s">
        <v>26</v>
      </c>
      <c r="O1002" s="5">
        <v>4</v>
      </c>
      <c r="P1002" s="3" t="s">
        <v>23</v>
      </c>
      <c r="Q1002" s="5"/>
    </row>
    <row r="1003" spans="1:17" ht="62">
      <c r="A1003" s="5">
        <v>998</v>
      </c>
      <c r="B1003" s="6" t="s">
        <v>16</v>
      </c>
      <c r="C1003" s="5" t="str">
        <f>HYPERLINK("http://data.overheid.nl/data/dataset/weggeg-wegcategorieen-formeel-kenmerk","Weggeg wegcategorieen formeel kenmerk")</f>
        <v>Weggeg wegcategorieen formeel kenmerk</v>
      </c>
      <c r="D1003" s="6" t="s">
        <v>17</v>
      </c>
      <c r="E1003" s="5" t="s">
        <v>18</v>
      </c>
      <c r="F1003" s="6" t="s">
        <v>813</v>
      </c>
      <c r="G1003" s="5" t="s">
        <v>656</v>
      </c>
      <c r="H1003" s="6" t="s">
        <v>20</v>
      </c>
      <c r="I1003" s="5" t="s">
        <v>21</v>
      </c>
      <c r="J1003" s="4" t="s">
        <v>22</v>
      </c>
      <c r="K1003" s="2" t="s">
        <v>23</v>
      </c>
      <c r="L1003" s="6" t="s">
        <v>24</v>
      </c>
      <c r="M1003" s="5" t="s">
        <v>25</v>
      </c>
      <c r="N1003" s="3" t="s">
        <v>26</v>
      </c>
      <c r="O1003" s="5">
        <v>4</v>
      </c>
      <c r="P1003" s="3" t="s">
        <v>23</v>
      </c>
      <c r="Q1003" s="5"/>
    </row>
    <row r="1004" spans="1:17" ht="294.5">
      <c r="A1004" s="5">
        <v>999</v>
      </c>
      <c r="B1004" s="6" t="s">
        <v>16</v>
      </c>
      <c r="C1004" s="5" t="str">
        <f>HYPERLINK("http://data.overheid.nl/data/dataset/weggeg-wegcategorieen-beleving-kenmerk","Weggeg wegcategorieen beleving kenmerk")</f>
        <v>Weggeg wegcategorieen beleving kenmerk</v>
      </c>
      <c r="D1004" s="6" t="s">
        <v>17</v>
      </c>
      <c r="E1004" s="5" t="s">
        <v>18</v>
      </c>
      <c r="F1004" s="6" t="s">
        <v>813</v>
      </c>
      <c r="G1004" s="5" t="s">
        <v>657</v>
      </c>
      <c r="H1004" s="6" t="s">
        <v>20</v>
      </c>
      <c r="I1004" s="5" t="s">
        <v>21</v>
      </c>
      <c r="J1004" s="4" t="s">
        <v>22</v>
      </c>
      <c r="K1004" s="2" t="s">
        <v>23</v>
      </c>
      <c r="L1004" s="6" t="s">
        <v>24</v>
      </c>
      <c r="M1004" s="5" t="s">
        <v>25</v>
      </c>
      <c r="N1004" s="3" t="s">
        <v>26</v>
      </c>
      <c r="O1004" s="5">
        <v>4</v>
      </c>
      <c r="P1004" s="3" t="s">
        <v>23</v>
      </c>
      <c r="Q1004" s="5"/>
    </row>
    <row r="1005" spans="1:17" ht="46.5">
      <c r="A1005" s="5">
        <v>1000</v>
      </c>
      <c r="B1005" s="6" t="s">
        <v>16</v>
      </c>
      <c r="C1005" s="5" t="str">
        <f>HYPERLINK("http://data.overheid.nl/data/dataset/weggeg-wegbermen-kenmerk","Weggeg wegbermen kenmerk")</f>
        <v>Weggeg wegbermen kenmerk</v>
      </c>
      <c r="D1005" s="6" t="s">
        <v>17</v>
      </c>
      <c r="E1005" s="5" t="s">
        <v>18</v>
      </c>
      <c r="F1005" s="6" t="s">
        <v>813</v>
      </c>
      <c r="G1005" s="5" t="s">
        <v>641</v>
      </c>
      <c r="H1005" s="6" t="s">
        <v>20</v>
      </c>
      <c r="I1005" s="5" t="s">
        <v>21</v>
      </c>
      <c r="J1005" s="4" t="s">
        <v>22</v>
      </c>
      <c r="K1005" s="2" t="s">
        <v>23</v>
      </c>
      <c r="L1005" s="6" t="s">
        <v>24</v>
      </c>
      <c r="M1005" s="5" t="s">
        <v>25</v>
      </c>
      <c r="N1005" s="3" t="s">
        <v>26</v>
      </c>
      <c r="O1005" s="5">
        <v>4</v>
      </c>
      <c r="P1005" s="3" t="s">
        <v>23</v>
      </c>
      <c r="Q1005" s="5"/>
    </row>
    <row r="1006" spans="1:17" ht="62">
      <c r="A1006" s="5">
        <v>1001</v>
      </c>
      <c r="B1006" s="6" t="s">
        <v>16</v>
      </c>
      <c r="C1006" s="5" t="str">
        <f>HYPERLINK("http://data.overheid.nl/data/dataset/weggeg-voorrangswegen-wegvak","Weggeg voorrangswegen wegvak")</f>
        <v>Weggeg voorrangswegen wegvak</v>
      </c>
      <c r="D1006" s="6" t="s">
        <v>17</v>
      </c>
      <c r="E1006" s="5" t="s">
        <v>18</v>
      </c>
      <c r="F1006" s="6" t="s">
        <v>813</v>
      </c>
      <c r="G1006" s="5" t="s">
        <v>642</v>
      </c>
      <c r="H1006" s="6" t="s">
        <v>20</v>
      </c>
      <c r="I1006" s="5" t="s">
        <v>21</v>
      </c>
      <c r="J1006" s="4" t="s">
        <v>22</v>
      </c>
      <c r="K1006" s="2" t="s">
        <v>23</v>
      </c>
      <c r="L1006" s="6" t="s">
        <v>24</v>
      </c>
      <c r="M1006" s="5" t="s">
        <v>25</v>
      </c>
      <c r="N1006" s="3" t="s">
        <v>26</v>
      </c>
      <c r="O1006" s="5">
        <v>2</v>
      </c>
      <c r="P1006" s="3" t="s">
        <v>23</v>
      </c>
      <c r="Q1006" s="5"/>
    </row>
    <row r="1007" spans="1:17" ht="46.5">
      <c r="A1007" s="5">
        <v>1002</v>
      </c>
      <c r="B1007" s="6" t="s">
        <v>16</v>
      </c>
      <c r="C1007" s="5" t="str">
        <f>HYPERLINK("http://data.overheid.nl/data/dataset/weggeg-voorrangswegen-kenmerk","Weggeg voorrangswegen kenmerk")</f>
        <v>Weggeg voorrangswegen kenmerk</v>
      </c>
      <c r="D1007" s="6" t="s">
        <v>17</v>
      </c>
      <c r="E1007" s="5" t="s">
        <v>18</v>
      </c>
      <c r="F1007" s="6" t="s">
        <v>813</v>
      </c>
      <c r="G1007" s="5" t="s">
        <v>641</v>
      </c>
      <c r="H1007" s="6" t="s">
        <v>20</v>
      </c>
      <c r="I1007" s="5" t="s">
        <v>21</v>
      </c>
      <c r="J1007" s="4" t="s">
        <v>22</v>
      </c>
      <c r="K1007" s="2" t="s">
        <v>23</v>
      </c>
      <c r="L1007" s="6" t="s">
        <v>24</v>
      </c>
      <c r="M1007" s="5" t="s">
        <v>25</v>
      </c>
      <c r="N1007" s="3" t="s">
        <v>26</v>
      </c>
      <c r="O1007" s="5">
        <v>4</v>
      </c>
      <c r="P1007" s="3" t="s">
        <v>23</v>
      </c>
      <c r="Q1007" s="5"/>
    </row>
    <row r="1008" spans="1:17" ht="62">
      <c r="A1008" s="5">
        <v>1003</v>
      </c>
      <c r="B1008" s="6" t="s">
        <v>16</v>
      </c>
      <c r="C1008" s="5" t="str">
        <f>HYPERLINK("http://data.overheid.nl/data/dataset/weggeg-verlichtingen-wegvak","Weggeg verlichtingen wegvak")</f>
        <v>Weggeg verlichtingen wegvak</v>
      </c>
      <c r="D1008" s="6" t="s">
        <v>17</v>
      </c>
      <c r="E1008" s="5" t="s">
        <v>18</v>
      </c>
      <c r="F1008" s="6" t="s">
        <v>813</v>
      </c>
      <c r="G1008" s="5" t="s">
        <v>642</v>
      </c>
      <c r="H1008" s="6" t="s">
        <v>20</v>
      </c>
      <c r="I1008" s="5" t="s">
        <v>21</v>
      </c>
      <c r="J1008" s="4" t="s">
        <v>22</v>
      </c>
      <c r="K1008" s="2" t="s">
        <v>23</v>
      </c>
      <c r="L1008" s="6" t="s">
        <v>24</v>
      </c>
      <c r="M1008" s="5" t="s">
        <v>25</v>
      </c>
      <c r="N1008" s="3" t="s">
        <v>26</v>
      </c>
      <c r="O1008" s="5">
        <v>2</v>
      </c>
      <c r="P1008" s="3" t="s">
        <v>23</v>
      </c>
      <c r="Q1008" s="5"/>
    </row>
    <row r="1009" spans="1:17" ht="46.5">
      <c r="A1009" s="5">
        <v>1004</v>
      </c>
      <c r="B1009" s="6" t="s">
        <v>16</v>
      </c>
      <c r="C1009" s="5" t="str">
        <f>HYPERLINK("http://data.overheid.nl/data/dataset/weggeg-strooksignaleringen-punt-kenmerk","Weggeg strooksignaleringen punt kenmerk")</f>
        <v>Weggeg strooksignaleringen punt kenmerk</v>
      </c>
      <c r="D1009" s="6" t="s">
        <v>17</v>
      </c>
      <c r="E1009" s="5" t="s">
        <v>18</v>
      </c>
      <c r="F1009" s="6" t="s">
        <v>813</v>
      </c>
      <c r="G1009" s="5" t="s">
        <v>641</v>
      </c>
      <c r="H1009" s="6" t="s">
        <v>20</v>
      </c>
      <c r="I1009" s="5" t="s">
        <v>21</v>
      </c>
      <c r="J1009" s="4" t="s">
        <v>22</v>
      </c>
      <c r="K1009" s="2" t="s">
        <v>23</v>
      </c>
      <c r="L1009" s="6" t="s">
        <v>24</v>
      </c>
      <c r="M1009" s="5" t="s">
        <v>25</v>
      </c>
      <c r="N1009" s="3" t="s">
        <v>26</v>
      </c>
      <c r="O1009" s="5">
        <v>4</v>
      </c>
      <c r="P1009" s="3" t="s">
        <v>23</v>
      </c>
      <c r="Q1009" s="5"/>
    </row>
    <row r="1010" spans="1:17" ht="46.5">
      <c r="A1010" s="5">
        <v>1005</v>
      </c>
      <c r="B1010" s="6" t="s">
        <v>16</v>
      </c>
      <c r="C1010" s="5" t="str">
        <f>HYPERLINK("http://data.overheid.nl/data/dataset/weggeg-spoorovergangen-kenmerk","Weggeg spoorovergangen kenmerk")</f>
        <v>Weggeg spoorovergangen kenmerk</v>
      </c>
      <c r="D1010" s="6" t="s">
        <v>17</v>
      </c>
      <c r="E1010" s="5" t="s">
        <v>18</v>
      </c>
      <c r="F1010" s="6" t="s">
        <v>813</v>
      </c>
      <c r="G1010" s="5" t="s">
        <v>641</v>
      </c>
      <c r="H1010" s="6" t="s">
        <v>20</v>
      </c>
      <c r="I1010" s="5" t="s">
        <v>21</v>
      </c>
      <c r="J1010" s="4" t="s">
        <v>22</v>
      </c>
      <c r="K1010" s="2" t="s">
        <v>23</v>
      </c>
      <c r="L1010" s="6" t="s">
        <v>24</v>
      </c>
      <c r="M1010" s="5" t="s">
        <v>25</v>
      </c>
      <c r="N1010" s="3" t="s">
        <v>26</v>
      </c>
      <c r="O1010" s="5">
        <v>4</v>
      </c>
      <c r="P1010" s="3" t="s">
        <v>23</v>
      </c>
      <c r="Q1010" s="5"/>
    </row>
    <row r="1011" spans="1:17" ht="46.5">
      <c r="A1011" s="5">
        <v>1006</v>
      </c>
      <c r="B1011" s="6" t="s">
        <v>16</v>
      </c>
      <c r="C1011" s="5" t="str">
        <f>HYPERLINK("http://data.overheid.nl/data/dataset/weggeg-signaleringen-kenmerk","Weggeg signaleringen kenmerk")</f>
        <v>Weggeg signaleringen kenmerk</v>
      </c>
      <c r="D1011" s="6" t="s">
        <v>17</v>
      </c>
      <c r="E1011" s="5" t="s">
        <v>18</v>
      </c>
      <c r="F1011" s="6" t="s">
        <v>813</v>
      </c>
      <c r="G1011" s="5" t="s">
        <v>641</v>
      </c>
      <c r="H1011" s="6" t="s">
        <v>20</v>
      </c>
      <c r="I1011" s="5" t="s">
        <v>21</v>
      </c>
      <c r="J1011" s="4" t="s">
        <v>22</v>
      </c>
      <c r="K1011" s="2" t="s">
        <v>23</v>
      </c>
      <c r="L1011" s="6" t="s">
        <v>24</v>
      </c>
      <c r="M1011" s="5" t="s">
        <v>25</v>
      </c>
      <c r="N1011" s="3" t="s">
        <v>26</v>
      </c>
      <c r="O1011" s="5">
        <v>4</v>
      </c>
      <c r="P1011" s="3" t="s">
        <v>23</v>
      </c>
      <c r="Q1011" s="5"/>
    </row>
    <row r="1012" spans="1:17" ht="46.5">
      <c r="A1012" s="5">
        <v>1007</v>
      </c>
      <c r="B1012" s="6" t="s">
        <v>16</v>
      </c>
      <c r="C1012" s="5" t="str">
        <f>HYPERLINK("http://data.overheid.nl/data/dataset/weggeg-rijbanen-kenmerk","Weggeg rijbanen kenmerk")</f>
        <v>Weggeg rijbanen kenmerk</v>
      </c>
      <c r="D1012" s="6" t="s">
        <v>17</v>
      </c>
      <c r="E1012" s="5" t="s">
        <v>18</v>
      </c>
      <c r="F1012" s="6" t="s">
        <v>813</v>
      </c>
      <c r="G1012" s="5" t="s">
        <v>641</v>
      </c>
      <c r="H1012" s="6" t="s">
        <v>20</v>
      </c>
      <c r="I1012" s="5" t="s">
        <v>21</v>
      </c>
      <c r="J1012" s="4" t="s">
        <v>22</v>
      </c>
      <c r="K1012" s="2" t="s">
        <v>23</v>
      </c>
      <c r="L1012" s="6" t="s">
        <v>24</v>
      </c>
      <c r="M1012" s="5" t="s">
        <v>25</v>
      </c>
      <c r="N1012" s="3" t="s">
        <v>26</v>
      </c>
      <c r="O1012" s="5">
        <v>4</v>
      </c>
      <c r="P1012" s="3" t="s">
        <v>23</v>
      </c>
      <c r="Q1012" s="5"/>
    </row>
    <row r="1013" spans="1:17" ht="46.5">
      <c r="A1013" s="5">
        <v>1008</v>
      </c>
      <c r="B1013" s="6" t="s">
        <v>16</v>
      </c>
      <c r="C1013" s="5" t="str">
        <f>HYPERLINK("http://data.overheid.nl/data/dataset/weggeg-portalen-kenmerk","Weggeg portalen kenmerk")</f>
        <v>Weggeg portalen kenmerk</v>
      </c>
      <c r="D1013" s="6" t="s">
        <v>17</v>
      </c>
      <c r="E1013" s="5" t="s">
        <v>18</v>
      </c>
      <c r="F1013" s="6" t="s">
        <v>813</v>
      </c>
      <c r="G1013" s="5" t="s">
        <v>641</v>
      </c>
      <c r="H1013" s="6" t="s">
        <v>20</v>
      </c>
      <c r="I1013" s="5" t="s">
        <v>21</v>
      </c>
      <c r="J1013" s="4" t="s">
        <v>22</v>
      </c>
      <c r="K1013" s="2" t="s">
        <v>23</v>
      </c>
      <c r="L1013" s="6" t="s">
        <v>24</v>
      </c>
      <c r="M1013" s="5" t="s">
        <v>25</v>
      </c>
      <c r="N1013" s="3" t="s">
        <v>26</v>
      </c>
      <c r="O1013" s="5">
        <v>4</v>
      </c>
      <c r="P1013" s="3" t="s">
        <v>23</v>
      </c>
      <c r="Q1013" s="5"/>
    </row>
    <row r="1014" spans="1:17" ht="62">
      <c r="A1014" s="5">
        <v>1009</v>
      </c>
      <c r="B1014" s="6" t="s">
        <v>16</v>
      </c>
      <c r="C1014" s="5" t="str">
        <f>HYPERLINK("http://data.overheid.nl/data/dataset/weggeg-mengstroken-wegvak","Weggeg mengstroken wegvak")</f>
        <v>Weggeg mengstroken wegvak</v>
      </c>
      <c r="D1014" s="6" t="s">
        <v>17</v>
      </c>
      <c r="E1014" s="5" t="s">
        <v>18</v>
      </c>
      <c r="F1014" s="6" t="s">
        <v>813</v>
      </c>
      <c r="G1014" s="5" t="s">
        <v>642</v>
      </c>
      <c r="H1014" s="6" t="s">
        <v>20</v>
      </c>
      <c r="I1014" s="5" t="s">
        <v>21</v>
      </c>
      <c r="J1014" s="4" t="s">
        <v>22</v>
      </c>
      <c r="K1014" s="2" t="s">
        <v>23</v>
      </c>
      <c r="L1014" s="6" t="s">
        <v>24</v>
      </c>
      <c r="M1014" s="5" t="s">
        <v>25</v>
      </c>
      <c r="N1014" s="3" t="s">
        <v>26</v>
      </c>
      <c r="O1014" s="5">
        <v>3</v>
      </c>
      <c r="P1014" s="3" t="s">
        <v>23</v>
      </c>
      <c r="Q1014" s="5"/>
    </row>
    <row r="1015" spans="1:17" ht="62">
      <c r="A1015" s="5">
        <v>1010</v>
      </c>
      <c r="B1015" s="6" t="s">
        <v>16</v>
      </c>
      <c r="C1015" s="5" t="str">
        <f>HYPERLINK("http://data.overheid.nl/data/dataset/weggeg-maximum-snelheden-wegvak","Weggeg maximum snelheden wegvak")</f>
        <v>Weggeg maximum snelheden wegvak</v>
      </c>
      <c r="D1015" s="6" t="s">
        <v>17</v>
      </c>
      <c r="E1015" s="5" t="s">
        <v>18</v>
      </c>
      <c r="F1015" s="6" t="s">
        <v>813</v>
      </c>
      <c r="G1015" s="5" t="s">
        <v>642</v>
      </c>
      <c r="H1015" s="6" t="s">
        <v>20</v>
      </c>
      <c r="I1015" s="5" t="s">
        <v>21</v>
      </c>
      <c r="J1015" s="4" t="s">
        <v>22</v>
      </c>
      <c r="K1015" s="2" t="s">
        <v>23</v>
      </c>
      <c r="L1015" s="6" t="s">
        <v>24</v>
      </c>
      <c r="M1015" s="5" t="s">
        <v>25</v>
      </c>
      <c r="N1015" s="3" t="s">
        <v>26</v>
      </c>
      <c r="O1015" s="5">
        <v>4</v>
      </c>
      <c r="P1015" s="3" t="s">
        <v>23</v>
      </c>
      <c r="Q1015" s="5"/>
    </row>
    <row r="1016" spans="1:17" ht="46.5">
      <c r="A1016" s="5">
        <v>1011</v>
      </c>
      <c r="B1016" s="6" t="s">
        <v>16</v>
      </c>
      <c r="C1016" s="5" t="str">
        <f>HYPERLINK("http://data.overheid.nl/data/dataset/weggeg-lichtmasten-kenmerk","Weggeg lichtmasten kenmerk")</f>
        <v>Weggeg lichtmasten kenmerk</v>
      </c>
      <c r="D1016" s="6" t="s">
        <v>17</v>
      </c>
      <c r="E1016" s="5" t="s">
        <v>18</v>
      </c>
      <c r="F1016" s="6" t="s">
        <v>813</v>
      </c>
      <c r="G1016" s="5" t="s">
        <v>641</v>
      </c>
      <c r="H1016" s="6" t="s">
        <v>20</v>
      </c>
      <c r="I1016" s="5" t="s">
        <v>21</v>
      </c>
      <c r="J1016" s="4" t="s">
        <v>22</v>
      </c>
      <c r="K1016" s="2" t="s">
        <v>23</v>
      </c>
      <c r="L1016" s="6" t="s">
        <v>24</v>
      </c>
      <c r="M1016" s="5" t="s">
        <v>25</v>
      </c>
      <c r="N1016" s="3" t="s">
        <v>26</v>
      </c>
      <c r="O1016" s="5">
        <v>4</v>
      </c>
      <c r="P1016" s="3" t="s">
        <v>23</v>
      </c>
      <c r="Q1016" s="5"/>
    </row>
    <row r="1017" spans="1:17" ht="46.5">
      <c r="A1017" s="5">
        <v>1012</v>
      </c>
      <c r="B1017" s="6" t="s">
        <v>16</v>
      </c>
      <c r="C1017" s="5" t="str">
        <f>HYPERLINK("http://data.overheid.nl/data/dataset/weggeg-kunstwerken-over-de-weg-kenmerk","Weggeg kunstwerken over de weg kenmerk")</f>
        <v>Weggeg kunstwerken over de weg kenmerk</v>
      </c>
      <c r="D1017" s="6" t="s">
        <v>17</v>
      </c>
      <c r="E1017" s="5" t="s">
        <v>18</v>
      </c>
      <c r="F1017" s="6" t="s">
        <v>813</v>
      </c>
      <c r="G1017" s="5" t="s">
        <v>641</v>
      </c>
      <c r="H1017" s="6" t="s">
        <v>20</v>
      </c>
      <c r="I1017" s="5" t="s">
        <v>21</v>
      </c>
      <c r="J1017" s="4" t="s">
        <v>22</v>
      </c>
      <c r="K1017" s="2" t="s">
        <v>23</v>
      </c>
      <c r="L1017" s="6" t="s">
        <v>24</v>
      </c>
      <c r="M1017" s="5" t="s">
        <v>25</v>
      </c>
      <c r="N1017" s="3" t="s">
        <v>26</v>
      </c>
      <c r="O1017" s="5">
        <v>4</v>
      </c>
      <c r="P1017" s="3" t="s">
        <v>23</v>
      </c>
      <c r="Q1017" s="5"/>
    </row>
    <row r="1018" spans="1:17" ht="46.5">
      <c r="A1018" s="5">
        <v>1013</v>
      </c>
      <c r="B1018" s="6" t="s">
        <v>16</v>
      </c>
      <c r="C1018" s="5" t="str">
        <f>HYPERLINK("http://data.overheid.nl/data/dataset/weggeg-kruispunten-kenmerk","Weggeg kruispunten kenmerk")</f>
        <v>Weggeg kruispunten kenmerk</v>
      </c>
      <c r="D1018" s="6" t="s">
        <v>17</v>
      </c>
      <c r="E1018" s="5" t="s">
        <v>18</v>
      </c>
      <c r="F1018" s="6" t="s">
        <v>813</v>
      </c>
      <c r="G1018" s="5" t="s">
        <v>641</v>
      </c>
      <c r="H1018" s="6" t="s">
        <v>20</v>
      </c>
      <c r="I1018" s="5" t="s">
        <v>21</v>
      </c>
      <c r="J1018" s="4" t="s">
        <v>22</v>
      </c>
      <c r="K1018" s="2" t="s">
        <v>23</v>
      </c>
      <c r="L1018" s="6" t="s">
        <v>24</v>
      </c>
      <c r="M1018" s="5" t="s">
        <v>25</v>
      </c>
      <c r="N1018" s="3" t="s">
        <v>26</v>
      </c>
      <c r="O1018" s="5">
        <v>4</v>
      </c>
      <c r="P1018" s="3" t="s">
        <v>23</v>
      </c>
      <c r="Q1018" s="5"/>
    </row>
    <row r="1019" spans="1:17" ht="46.5">
      <c r="A1019" s="5">
        <v>1014</v>
      </c>
      <c r="B1019" s="6" t="s">
        <v>16</v>
      </c>
      <c r="C1019" s="5" t="str">
        <f>HYPERLINK("http://data.overheid.nl/data/dataset/weggeg-geluidsbeperkingen-kenmerk","Weggeg geluidsbeperkingen kenmerk")</f>
        <v>Weggeg geluidsbeperkingen kenmerk</v>
      </c>
      <c r="D1019" s="6" t="s">
        <v>17</v>
      </c>
      <c r="E1019" s="5" t="s">
        <v>18</v>
      </c>
      <c r="F1019" s="6" t="s">
        <v>813</v>
      </c>
      <c r="G1019" s="5" t="s">
        <v>641</v>
      </c>
      <c r="H1019" s="6" t="s">
        <v>20</v>
      </c>
      <c r="I1019" s="5" t="s">
        <v>21</v>
      </c>
      <c r="J1019" s="4" t="s">
        <v>22</v>
      </c>
      <c r="K1019" s="2" t="s">
        <v>23</v>
      </c>
      <c r="L1019" s="6" t="s">
        <v>24</v>
      </c>
      <c r="M1019" s="5" t="s">
        <v>25</v>
      </c>
      <c r="N1019" s="3" t="s">
        <v>26</v>
      </c>
      <c r="O1019" s="5">
        <v>4</v>
      </c>
      <c r="P1019" s="3" t="s">
        <v>23</v>
      </c>
      <c r="Q1019" s="5"/>
    </row>
    <row r="1020" spans="1:17" ht="31">
      <c r="A1020" s="5">
        <v>1015</v>
      </c>
      <c r="B1020" s="6" t="s">
        <v>16</v>
      </c>
      <c r="C1020" s="5" t="str">
        <f>HYPERLINK("http://data.overheid.nl/data/dataset/weggeg-doelgroepstroken-kenmerk","Weggeg doelgroepstroken kenmerk")</f>
        <v>Weggeg doelgroepstroken kenmerk</v>
      </c>
      <c r="D1020" s="6" t="s">
        <v>17</v>
      </c>
      <c r="E1020" s="5" t="s">
        <v>18</v>
      </c>
      <c r="F1020" s="6" t="s">
        <v>813</v>
      </c>
      <c r="G1020" s="5" t="s">
        <v>658</v>
      </c>
      <c r="H1020" s="6" t="s">
        <v>20</v>
      </c>
      <c r="I1020" s="5" t="s">
        <v>21</v>
      </c>
      <c r="J1020" s="4" t="s">
        <v>22</v>
      </c>
      <c r="K1020" s="2" t="s">
        <v>23</v>
      </c>
      <c r="L1020" s="6" t="s">
        <v>24</v>
      </c>
      <c r="M1020" s="5" t="s">
        <v>25</v>
      </c>
      <c r="N1020" s="3" t="s">
        <v>26</v>
      </c>
      <c r="O1020" s="5">
        <v>4</v>
      </c>
      <c r="P1020" s="3" t="s">
        <v>23</v>
      </c>
      <c r="Q1020" s="5"/>
    </row>
    <row r="1021" spans="1:17" ht="46.5">
      <c r="A1021" s="5">
        <v>1016</v>
      </c>
      <c r="B1021" s="6" t="s">
        <v>16</v>
      </c>
      <c r="C1021" s="5" t="str">
        <f>HYPERLINK("http://data.overheid.nl/data/dataset/weggeg-divergenties-kenmerk","Weggeg divergenties kenmerk")</f>
        <v>Weggeg divergenties kenmerk</v>
      </c>
      <c r="D1021" s="6" t="s">
        <v>17</v>
      </c>
      <c r="E1021" s="5" t="s">
        <v>18</v>
      </c>
      <c r="F1021" s="6" t="s">
        <v>813</v>
      </c>
      <c r="G1021" s="5" t="s">
        <v>641</v>
      </c>
      <c r="H1021" s="6" t="s">
        <v>20</v>
      </c>
      <c r="I1021" s="5" t="s">
        <v>21</v>
      </c>
      <c r="J1021" s="4" t="s">
        <v>22</v>
      </c>
      <c r="K1021" s="2" t="s">
        <v>23</v>
      </c>
      <c r="L1021" s="6" t="s">
        <v>24</v>
      </c>
      <c r="M1021" s="5" t="s">
        <v>25</v>
      </c>
      <c r="N1021" s="3" t="s">
        <v>26</v>
      </c>
      <c r="O1021" s="5">
        <v>4</v>
      </c>
      <c r="P1021" s="3" t="s">
        <v>23</v>
      </c>
      <c r="Q1021" s="5"/>
    </row>
    <row r="1022" spans="1:17" ht="46.5">
      <c r="A1022" s="5">
        <v>1017</v>
      </c>
      <c r="B1022" s="6" t="s">
        <v>16</v>
      </c>
      <c r="C1022" s="5" t="str">
        <f>HYPERLINK("http://data.overheid.nl/data/dataset/weggeg-convergenties-kenmerk","Weggeg convergenties kenmerk")</f>
        <v>Weggeg convergenties kenmerk</v>
      </c>
      <c r="D1022" s="6" t="s">
        <v>17</v>
      </c>
      <c r="E1022" s="5" t="s">
        <v>18</v>
      </c>
      <c r="F1022" s="6" t="s">
        <v>813</v>
      </c>
      <c r="G1022" s="5" t="s">
        <v>641</v>
      </c>
      <c r="H1022" s="6" t="s">
        <v>20</v>
      </c>
      <c r="I1022" s="5" t="s">
        <v>21</v>
      </c>
      <c r="J1022" s="4" t="s">
        <v>22</v>
      </c>
      <c r="K1022" s="2" t="s">
        <v>23</v>
      </c>
      <c r="L1022" s="6" t="s">
        <v>24</v>
      </c>
      <c r="M1022" s="5" t="s">
        <v>25</v>
      </c>
      <c r="N1022" s="3" t="s">
        <v>26</v>
      </c>
      <c r="O1022" s="5">
        <v>4</v>
      </c>
      <c r="P1022" s="3" t="s">
        <v>23</v>
      </c>
      <c r="Q1022" s="5"/>
    </row>
    <row r="1023" spans="1:17" ht="46.5">
      <c r="A1023" s="5">
        <v>1018</v>
      </c>
      <c r="B1023" s="6" t="s">
        <v>16</v>
      </c>
      <c r="C1023" s="5" t="str">
        <f>HYPERLINK("http://data.overheid.nl/data/dataset/weggeg-bebouwde-kom-kenmerk","Weggeg bebouwde kom kenmerk")</f>
        <v>Weggeg bebouwde kom kenmerk</v>
      </c>
      <c r="D1023" s="6" t="s">
        <v>17</v>
      </c>
      <c r="E1023" s="5" t="s">
        <v>18</v>
      </c>
      <c r="F1023" s="6" t="s">
        <v>813</v>
      </c>
      <c r="G1023" s="5" t="s">
        <v>641</v>
      </c>
      <c r="H1023" s="6" t="s">
        <v>20</v>
      </c>
      <c r="I1023" s="5" t="s">
        <v>21</v>
      </c>
      <c r="J1023" s="4" t="s">
        <v>22</v>
      </c>
      <c r="K1023" s="2" t="s">
        <v>23</v>
      </c>
      <c r="L1023" s="6" t="s">
        <v>24</v>
      </c>
      <c r="M1023" s="5" t="s">
        <v>25</v>
      </c>
      <c r="N1023" s="3" t="s">
        <v>26</v>
      </c>
      <c r="O1023" s="5">
        <v>4</v>
      </c>
      <c r="P1023" s="3" t="s">
        <v>23</v>
      </c>
      <c r="Q1023" s="5"/>
    </row>
    <row r="1024" spans="1:17" ht="31">
      <c r="A1024" s="5">
        <v>1019</v>
      </c>
      <c r="B1024" s="6" t="s">
        <v>16</v>
      </c>
      <c r="C1024" s="5" t="str">
        <f>HYPERLINK("http://data.overheid.nl/data/dataset/vaarweg-informatie-nederland-zwaaiplaats","Vaarweg Informatie Nederland zwaaiplaats")</f>
        <v>Vaarweg Informatie Nederland zwaaiplaats</v>
      </c>
      <c r="D1024" s="6" t="s">
        <v>17</v>
      </c>
      <c r="E1024" s="5" t="s">
        <v>18</v>
      </c>
      <c r="F1024" s="6" t="s">
        <v>813</v>
      </c>
      <c r="G1024" s="5" t="s">
        <v>659</v>
      </c>
      <c r="H1024" s="6" t="s">
        <v>20</v>
      </c>
      <c r="I1024" s="5" t="s">
        <v>21</v>
      </c>
      <c r="J1024" s="4" t="s">
        <v>22</v>
      </c>
      <c r="K1024" s="2" t="s">
        <v>23</v>
      </c>
      <c r="L1024" s="6" t="s">
        <v>24</v>
      </c>
      <c r="M1024" s="5" t="s">
        <v>25</v>
      </c>
      <c r="N1024" s="3" t="s">
        <v>26</v>
      </c>
      <c r="O1024" s="5">
        <v>3</v>
      </c>
      <c r="P1024" s="3" t="s">
        <v>23</v>
      </c>
      <c r="Q1024" s="5"/>
    </row>
    <row r="1025" spans="1:17" ht="31">
      <c r="A1025" s="5">
        <v>1020</v>
      </c>
      <c r="B1025" s="6" t="s">
        <v>16</v>
      </c>
      <c r="C1025" s="5" t="str">
        <f>HYPERLINK("http://data.overheid.nl/data/dataset/vaarweg-informatie-nederland-waterstand-streefpeil","Vaarweg Informatie Nederland Waterstand streefpeil")</f>
        <v>Vaarweg Informatie Nederland Waterstand streefpeil</v>
      </c>
      <c r="D1025" s="6" t="s">
        <v>17</v>
      </c>
      <c r="E1025" s="5" t="s">
        <v>18</v>
      </c>
      <c r="F1025" s="6" t="s">
        <v>813</v>
      </c>
      <c r="G1025" s="5" t="s">
        <v>660</v>
      </c>
      <c r="H1025" s="6" t="s">
        <v>20</v>
      </c>
      <c r="I1025" s="5" t="s">
        <v>21</v>
      </c>
      <c r="J1025" s="4" t="s">
        <v>22</v>
      </c>
      <c r="K1025" s="2" t="s">
        <v>23</v>
      </c>
      <c r="L1025" s="6" t="s">
        <v>24</v>
      </c>
      <c r="M1025" s="5" t="s">
        <v>25</v>
      </c>
      <c r="N1025" s="3" t="s">
        <v>26</v>
      </c>
      <c r="O1025" s="5">
        <v>3</v>
      </c>
      <c r="P1025" s="3" t="s">
        <v>23</v>
      </c>
      <c r="Q1025" s="5"/>
    </row>
    <row r="1026" spans="1:17" ht="31">
      <c r="A1026" s="5">
        <v>1021</v>
      </c>
      <c r="B1026" s="6" t="s">
        <v>16</v>
      </c>
      <c r="C1026" s="5" t="str">
        <f>HYPERLINK("http://data.overheid.nl/data/dataset/vaarweg-informatie-nederland-waterstand-nap","Vaarweg Informatie Nederland Waterstand (NAP)")</f>
        <v>Vaarweg Informatie Nederland Waterstand (NAP)</v>
      </c>
      <c r="D1026" s="6" t="s">
        <v>17</v>
      </c>
      <c r="E1026" s="5" t="s">
        <v>18</v>
      </c>
      <c r="F1026" s="6" t="s">
        <v>813</v>
      </c>
      <c r="G1026" s="5" t="s">
        <v>661</v>
      </c>
      <c r="H1026" s="6" t="s">
        <v>28</v>
      </c>
      <c r="I1026" s="5" t="s">
        <v>21</v>
      </c>
      <c r="J1026" s="4" t="s">
        <v>22</v>
      </c>
      <c r="K1026" s="2" t="s">
        <v>23</v>
      </c>
      <c r="L1026" s="6" t="s">
        <v>24</v>
      </c>
      <c r="M1026" s="5" t="s">
        <v>25</v>
      </c>
      <c r="N1026" s="3" t="s">
        <v>26</v>
      </c>
      <c r="O1026" s="5">
        <v>3</v>
      </c>
      <c r="P1026" s="3" t="s">
        <v>23</v>
      </c>
      <c r="Q1026" s="5"/>
    </row>
    <row r="1027" spans="1:17" ht="31">
      <c r="A1027" s="5">
        <v>1022</v>
      </c>
      <c r="B1027" s="6" t="s">
        <v>16</v>
      </c>
      <c r="C1027" s="5" t="str">
        <f>HYPERLINK("http://data.overheid.nl/data/dataset/vaarweg-informatie-nederland-vts-deelsector","Vaarweg Informatie Nederland VTS deelsector")</f>
        <v>Vaarweg Informatie Nederland VTS deelsector</v>
      </c>
      <c r="D1027" s="6" t="s">
        <v>17</v>
      </c>
      <c r="E1027" s="5" t="s">
        <v>18</v>
      </c>
      <c r="F1027" s="6" t="s">
        <v>813</v>
      </c>
      <c r="G1027" s="5" t="s">
        <v>662</v>
      </c>
      <c r="H1027" s="6" t="s">
        <v>20</v>
      </c>
      <c r="I1027" s="5" t="s">
        <v>21</v>
      </c>
      <c r="J1027" s="4" t="s">
        <v>22</v>
      </c>
      <c r="K1027" s="2" t="s">
        <v>23</v>
      </c>
      <c r="L1027" s="6" t="s">
        <v>24</v>
      </c>
      <c r="M1027" s="5" t="s">
        <v>25</v>
      </c>
      <c r="N1027" s="3" t="s">
        <v>26</v>
      </c>
      <c r="O1027" s="5">
        <v>3</v>
      </c>
      <c r="P1027" s="3" t="s">
        <v>23</v>
      </c>
      <c r="Q1027" s="5"/>
    </row>
    <row r="1028" spans="1:17" ht="31">
      <c r="A1028" s="5">
        <v>1023</v>
      </c>
      <c r="B1028" s="6" t="s">
        <v>16</v>
      </c>
      <c r="C1028" s="5" t="str">
        <f>HYPERLINK("http://data.overheid.nl/data/dataset/vaarweg-informatie-nederland-sluis","Vaarweg Informatie Nederland sluis")</f>
        <v>Vaarweg Informatie Nederland sluis</v>
      </c>
      <c r="D1028" s="6" t="s">
        <v>17</v>
      </c>
      <c r="E1028" s="5" t="s">
        <v>18</v>
      </c>
      <c r="F1028" s="6" t="s">
        <v>813</v>
      </c>
      <c r="G1028" s="5" t="s">
        <v>44</v>
      </c>
      <c r="H1028" s="6" t="s">
        <v>28</v>
      </c>
      <c r="I1028" s="5" t="s">
        <v>21</v>
      </c>
      <c r="J1028" s="4" t="s">
        <v>22</v>
      </c>
      <c r="K1028" s="2" t="s">
        <v>23</v>
      </c>
      <c r="L1028" s="6" t="s">
        <v>24</v>
      </c>
      <c r="M1028" s="5" t="s">
        <v>25</v>
      </c>
      <c r="N1028" s="3" t="s">
        <v>26</v>
      </c>
      <c r="O1028" s="5">
        <v>3</v>
      </c>
      <c r="P1028" s="3" t="s">
        <v>23</v>
      </c>
      <c r="Q1028" s="5"/>
    </row>
    <row r="1029" spans="1:17" ht="31">
      <c r="A1029" s="5">
        <v>1024</v>
      </c>
      <c r="B1029" s="6" t="s">
        <v>16</v>
      </c>
      <c r="C1029" s="5" t="str">
        <f>HYPERLINK("http://data.overheid.nl/data/dataset/vaarweg-informatie-nederland-overig-kunstwerk","Vaarweg Informatie Nederland overig kunstwerk")</f>
        <v>Vaarweg Informatie Nederland overig kunstwerk</v>
      </c>
      <c r="D1029" s="6" t="s">
        <v>17</v>
      </c>
      <c r="E1029" s="5" t="s">
        <v>18</v>
      </c>
      <c r="F1029" s="6" t="s">
        <v>813</v>
      </c>
      <c r="G1029" s="5" t="s">
        <v>663</v>
      </c>
      <c r="H1029" s="6" t="s">
        <v>20</v>
      </c>
      <c r="I1029" s="5" t="s">
        <v>21</v>
      </c>
      <c r="J1029" s="4" t="s">
        <v>22</v>
      </c>
      <c r="K1029" s="2" t="s">
        <v>23</v>
      </c>
      <c r="L1029" s="6" t="s">
        <v>24</v>
      </c>
      <c r="M1029" s="5" t="s">
        <v>25</v>
      </c>
      <c r="N1029" s="3" t="s">
        <v>26</v>
      </c>
      <c r="O1029" s="5">
        <v>3</v>
      </c>
      <c r="P1029" s="3" t="s">
        <v>23</v>
      </c>
      <c r="Q1029" s="5"/>
    </row>
    <row r="1030" spans="1:17" ht="31">
      <c r="A1030" s="5">
        <v>1025</v>
      </c>
      <c r="B1030" s="6" t="s">
        <v>16</v>
      </c>
      <c r="C1030" s="5" t="str">
        <f>HYPERLINK("http://data.overheid.nl/data/dataset/vaarweg-informatie-nederland-ligplaats","Vaarweg Informatie Nederland ligplaats")</f>
        <v>Vaarweg Informatie Nederland ligplaats</v>
      </c>
      <c r="D1030" s="6" t="s">
        <v>17</v>
      </c>
      <c r="E1030" s="5" t="s">
        <v>18</v>
      </c>
      <c r="F1030" s="6" t="s">
        <v>813</v>
      </c>
      <c r="G1030" s="5" t="s">
        <v>664</v>
      </c>
      <c r="H1030" s="6" t="s">
        <v>28</v>
      </c>
      <c r="I1030" s="5" t="s">
        <v>21</v>
      </c>
      <c r="J1030" s="4" t="s">
        <v>22</v>
      </c>
      <c r="K1030" s="2" t="s">
        <v>23</v>
      </c>
      <c r="L1030" s="6" t="s">
        <v>24</v>
      </c>
      <c r="M1030" s="5" t="s">
        <v>25</v>
      </c>
      <c r="N1030" s="3" t="s">
        <v>26</v>
      </c>
      <c r="O1030" s="5">
        <v>3</v>
      </c>
      <c r="P1030" s="3" t="s">
        <v>23</v>
      </c>
      <c r="Q1030" s="5"/>
    </row>
    <row r="1031" spans="1:17" ht="62">
      <c r="A1031" s="5">
        <v>1026</v>
      </c>
      <c r="B1031" s="6" t="s">
        <v>16</v>
      </c>
      <c r="C1031" s="5" t="str">
        <f>HYPERLINK("http://data.overheid.nl/data/dataset/vaarweg-informatie-nederland-ivs-punt","Vaarweg Informatie Nederland IVS punt")</f>
        <v>Vaarweg Informatie Nederland IVS punt</v>
      </c>
      <c r="D1031" s="6" t="s">
        <v>17</v>
      </c>
      <c r="E1031" s="5" t="s">
        <v>18</v>
      </c>
      <c r="F1031" s="6" t="s">
        <v>813</v>
      </c>
      <c r="G1031" s="5" t="s">
        <v>665</v>
      </c>
      <c r="H1031" s="6" t="s">
        <v>28</v>
      </c>
      <c r="I1031" s="5" t="s">
        <v>21</v>
      </c>
      <c r="J1031" s="4" t="s">
        <v>22</v>
      </c>
      <c r="K1031" s="2" t="s">
        <v>23</v>
      </c>
      <c r="L1031" s="6" t="s">
        <v>24</v>
      </c>
      <c r="M1031" s="5" t="s">
        <v>25</v>
      </c>
      <c r="N1031" s="3" t="s">
        <v>26</v>
      </c>
      <c r="O1031" s="5">
        <v>3</v>
      </c>
      <c r="P1031" s="3" t="s">
        <v>23</v>
      </c>
      <c r="Q1031" s="5"/>
    </row>
    <row r="1032" spans="1:17" ht="31">
      <c r="A1032" s="5">
        <v>1027</v>
      </c>
      <c r="B1032" s="6" t="s">
        <v>16</v>
      </c>
      <c r="C1032" s="5" t="str">
        <f>HYPERLINK("http://data.overheid.nl/data/dataset/vaarweg-informatie-nederland-inzamelpunt","Vaarweg Informatie Nederland inzamelpunt")</f>
        <v>Vaarweg Informatie Nederland inzamelpunt</v>
      </c>
      <c r="D1032" s="6" t="s">
        <v>17</v>
      </c>
      <c r="E1032" s="5" t="s">
        <v>18</v>
      </c>
      <c r="F1032" s="6" t="s">
        <v>813</v>
      </c>
      <c r="G1032" s="5" t="s">
        <v>666</v>
      </c>
      <c r="H1032" s="6" t="s">
        <v>20</v>
      </c>
      <c r="I1032" s="5" t="s">
        <v>21</v>
      </c>
      <c r="J1032" s="4" t="s">
        <v>22</v>
      </c>
      <c r="K1032" s="2" t="s">
        <v>23</v>
      </c>
      <c r="L1032" s="6" t="s">
        <v>24</v>
      </c>
      <c r="M1032" s="5" t="s">
        <v>25</v>
      </c>
      <c r="N1032" s="3" t="s">
        <v>26</v>
      </c>
      <c r="O1032" s="5">
        <v>3</v>
      </c>
      <c r="P1032" s="3" t="s">
        <v>23</v>
      </c>
      <c r="Q1032" s="5"/>
    </row>
    <row r="1033" spans="1:17" ht="46.5">
      <c r="A1033" s="5">
        <v>1028</v>
      </c>
      <c r="B1033" s="6" t="s">
        <v>16</v>
      </c>
      <c r="C1033" s="5" t="str">
        <f>HYPERLINK("http://data.overheid.nl/data/dataset/vaarweg-informatie-nederland-hoogspanningslijn","Vaarweg Informatie Nederland hoogspanningslijn")</f>
        <v>Vaarweg Informatie Nederland hoogspanningslijn</v>
      </c>
      <c r="D1033" s="6" t="s">
        <v>17</v>
      </c>
      <c r="E1033" s="5" t="s">
        <v>18</v>
      </c>
      <c r="F1033" s="6" t="s">
        <v>813</v>
      </c>
      <c r="G1033" s="5" t="s">
        <v>667</v>
      </c>
      <c r="H1033" s="6" t="s">
        <v>28</v>
      </c>
      <c r="I1033" s="5" t="s">
        <v>21</v>
      </c>
      <c r="J1033" s="4" t="s">
        <v>22</v>
      </c>
      <c r="K1033" s="2" t="s">
        <v>23</v>
      </c>
      <c r="L1033" s="6" t="s">
        <v>24</v>
      </c>
      <c r="M1033" s="5" t="s">
        <v>25</v>
      </c>
      <c r="N1033" s="3" t="s">
        <v>26</v>
      </c>
      <c r="O1033" s="5">
        <v>3</v>
      </c>
      <c r="P1033" s="3" t="s">
        <v>23</v>
      </c>
      <c r="Q1033" s="5"/>
    </row>
    <row r="1034" spans="1:17" ht="31">
      <c r="A1034" s="5">
        <v>1029</v>
      </c>
      <c r="B1034" s="6" t="s">
        <v>16</v>
      </c>
      <c r="C1034" s="5" t="str">
        <f>HYPERLINK("http://data.overheid.nl/data/dataset/vaarweg-informatie-nederland-haven","Vaarweg Informatie Nederland haven")</f>
        <v>Vaarweg Informatie Nederland haven</v>
      </c>
      <c r="D1034" s="6" t="s">
        <v>17</v>
      </c>
      <c r="E1034" s="5" t="s">
        <v>18</v>
      </c>
      <c r="F1034" s="6" t="s">
        <v>813</v>
      </c>
      <c r="G1034" s="5" t="s">
        <v>668</v>
      </c>
      <c r="H1034" s="6" t="s">
        <v>28</v>
      </c>
      <c r="I1034" s="5" t="s">
        <v>21</v>
      </c>
      <c r="J1034" s="4" t="s">
        <v>22</v>
      </c>
      <c r="K1034" s="2" t="s">
        <v>23</v>
      </c>
      <c r="L1034" s="6" t="s">
        <v>24</v>
      </c>
      <c r="M1034" s="5" t="s">
        <v>25</v>
      </c>
      <c r="N1034" s="3" t="s">
        <v>26</v>
      </c>
      <c r="O1034" s="5">
        <v>3</v>
      </c>
      <c r="P1034" s="3" t="s">
        <v>23</v>
      </c>
      <c r="Q1034" s="5"/>
    </row>
    <row r="1035" spans="1:17" ht="155">
      <c r="A1035" s="5">
        <v>1030</v>
      </c>
      <c r="B1035" s="6" t="s">
        <v>16</v>
      </c>
      <c r="C1035" s="5" t="str">
        <f>HYPERLINK("http://data.overheid.nl/data/dataset/vaarweg-informatie-nederland-diepte-vaarweg","Vaarweg Informatie Nederland diepte vaarweg")</f>
        <v>Vaarweg Informatie Nederland diepte vaarweg</v>
      </c>
      <c r="D1035" s="6" t="s">
        <v>17</v>
      </c>
      <c r="E1035" s="5" t="s">
        <v>18</v>
      </c>
      <c r="F1035" s="6" t="s">
        <v>813</v>
      </c>
      <c r="G1035" s="5" t="s">
        <v>669</v>
      </c>
      <c r="H1035" s="6" t="s">
        <v>28</v>
      </c>
      <c r="I1035" s="5" t="s">
        <v>21</v>
      </c>
      <c r="J1035" s="4" t="s">
        <v>22</v>
      </c>
      <c r="K1035" s="2" t="s">
        <v>23</v>
      </c>
      <c r="L1035" s="6" t="s">
        <v>24</v>
      </c>
      <c r="M1035" s="5" t="s">
        <v>25</v>
      </c>
      <c r="N1035" s="3" t="s">
        <v>26</v>
      </c>
      <c r="O1035" s="5">
        <v>3</v>
      </c>
      <c r="P1035" s="3" t="s">
        <v>23</v>
      </c>
      <c r="Q1035" s="5"/>
    </row>
    <row r="1036" spans="1:17" ht="31">
      <c r="A1036" s="5">
        <v>1031</v>
      </c>
      <c r="B1036" s="6" t="s">
        <v>16</v>
      </c>
      <c r="C1036" s="5" t="str">
        <f>HYPERLINK("http://data.overheid.nl/data/dataset/vaarweg-informatie-nederland-bunkerstation","Vaarweg Informatie Nederland bunkerstation")</f>
        <v>Vaarweg Informatie Nederland bunkerstation</v>
      </c>
      <c r="D1036" s="6" t="s">
        <v>17</v>
      </c>
      <c r="E1036" s="5" t="s">
        <v>18</v>
      </c>
      <c r="F1036" s="6" t="s">
        <v>813</v>
      </c>
      <c r="G1036" s="5" t="s">
        <v>670</v>
      </c>
      <c r="H1036" s="6" t="s">
        <v>28</v>
      </c>
      <c r="I1036" s="5" t="s">
        <v>21</v>
      </c>
      <c r="J1036" s="4" t="s">
        <v>22</v>
      </c>
      <c r="K1036" s="2" t="s">
        <v>23</v>
      </c>
      <c r="L1036" s="6" t="s">
        <v>24</v>
      </c>
      <c r="M1036" s="5" t="s">
        <v>25</v>
      </c>
      <c r="N1036" s="3" t="s">
        <v>26</v>
      </c>
      <c r="O1036" s="5">
        <v>3</v>
      </c>
      <c r="P1036" s="3" t="s">
        <v>23</v>
      </c>
      <c r="Q1036" s="5"/>
    </row>
    <row r="1037" spans="1:17" ht="31">
      <c r="A1037" s="5">
        <v>1032</v>
      </c>
      <c r="B1037" s="6" t="s">
        <v>16</v>
      </c>
      <c r="C1037" s="5" t="str">
        <f>HYPERLINK("http://data.overheid.nl/data/dataset/vaarweg-informatie-nederland-brug","Vaarweg Informatie Nederland brug")</f>
        <v>Vaarweg Informatie Nederland brug</v>
      </c>
      <c r="D1037" s="6" t="s">
        <v>17</v>
      </c>
      <c r="E1037" s="5" t="s">
        <v>18</v>
      </c>
      <c r="F1037" s="6" t="s">
        <v>813</v>
      </c>
      <c r="G1037" s="5" t="s">
        <v>671</v>
      </c>
      <c r="H1037" s="6" t="s">
        <v>20</v>
      </c>
      <c r="I1037" s="5" t="s">
        <v>21</v>
      </c>
      <c r="J1037" s="4" t="s">
        <v>22</v>
      </c>
      <c r="K1037" s="2" t="s">
        <v>23</v>
      </c>
      <c r="L1037" s="6" t="s">
        <v>24</v>
      </c>
      <c r="M1037" s="5" t="s">
        <v>25</v>
      </c>
      <c r="N1037" s="3" t="s">
        <v>26</v>
      </c>
      <c r="O1037" s="5">
        <v>3</v>
      </c>
      <c r="P1037" s="3" t="s">
        <v>23</v>
      </c>
      <c r="Q1037" s="5"/>
    </row>
    <row r="1038" spans="1:17" ht="201.5">
      <c r="A1038" s="5">
        <v>1033</v>
      </c>
      <c r="B1038" s="6" t="s">
        <v>16</v>
      </c>
      <c r="C1038" s="5" t="str">
        <f>HYPERLINK("http://data.overheid.nl/data/dataset/vaarweg-informatie-nederland-bevaarbaarheidsinformatie","Vaarweg Informatie Nederland bevaarbaarheidsinformatie")</f>
        <v>Vaarweg Informatie Nederland bevaarbaarheidsinformatie</v>
      </c>
      <c r="D1038" s="6" t="s">
        <v>17</v>
      </c>
      <c r="E1038" s="5" t="s">
        <v>18</v>
      </c>
      <c r="F1038" s="6" t="s">
        <v>813</v>
      </c>
      <c r="G1038" s="5" t="s">
        <v>46</v>
      </c>
      <c r="H1038" s="6" t="s">
        <v>20</v>
      </c>
      <c r="I1038" s="5" t="s">
        <v>21</v>
      </c>
      <c r="J1038" s="4" t="s">
        <v>22</v>
      </c>
      <c r="K1038" s="2" t="s">
        <v>23</v>
      </c>
      <c r="L1038" s="6" t="s">
        <v>24</v>
      </c>
      <c r="M1038" s="5" t="s">
        <v>25</v>
      </c>
      <c r="N1038" s="3" t="s">
        <v>26</v>
      </c>
      <c r="O1038" s="5">
        <v>6</v>
      </c>
      <c r="P1038" s="3" t="s">
        <v>23</v>
      </c>
      <c r="Q1038" s="5"/>
    </row>
    <row r="1039" spans="1:17" ht="46.5">
      <c r="A1039" s="5">
        <v>1034</v>
      </c>
      <c r="B1039" s="6" t="s">
        <v>16</v>
      </c>
      <c r="C1039" s="5" t="str">
        <f>HYPERLINK("http://data.overheid.nl/data/dataset/vaarweg-informatie-nederland-aansluiting","Vaarweg Informatie Nederland aansluiting")</f>
        <v>Vaarweg Informatie Nederland aansluiting</v>
      </c>
      <c r="D1039" s="6" t="s">
        <v>17</v>
      </c>
      <c r="E1039" s="5" t="s">
        <v>18</v>
      </c>
      <c r="F1039" s="6" t="s">
        <v>813</v>
      </c>
      <c r="G1039" s="5" t="s">
        <v>344</v>
      </c>
      <c r="H1039" s="6" t="s">
        <v>28</v>
      </c>
      <c r="I1039" s="5" t="s">
        <v>21</v>
      </c>
      <c r="J1039" s="4" t="s">
        <v>22</v>
      </c>
      <c r="K1039" s="2" t="s">
        <v>23</v>
      </c>
      <c r="L1039" s="6" t="s">
        <v>24</v>
      </c>
      <c r="M1039" s="5" t="s">
        <v>25</v>
      </c>
      <c r="N1039" s="3" t="s">
        <v>26</v>
      </c>
      <c r="O1039" s="5">
        <v>3</v>
      </c>
      <c r="P1039" s="3" t="s">
        <v>23</v>
      </c>
      <c r="Q1039" s="5"/>
    </row>
    <row r="1040" spans="1:17" ht="93">
      <c r="A1040" s="5">
        <v>1035</v>
      </c>
      <c r="B1040" s="6" t="s">
        <v>16</v>
      </c>
      <c r="C1040" s="5" t="str">
        <f>HYPERLINK("http://data.overheid.nl/data/dataset/nis-verkeersvoorzieningen-hwn-wim","NIS Verkeersvoorzieningen HWN: WIM")</f>
        <v>NIS Verkeersvoorzieningen HWN: WIM</v>
      </c>
      <c r="D1040" s="6" t="s">
        <v>17</v>
      </c>
      <c r="E1040" s="5" t="s">
        <v>18</v>
      </c>
      <c r="F1040" s="6" t="s">
        <v>813</v>
      </c>
      <c r="G1040" s="5" t="s">
        <v>672</v>
      </c>
      <c r="H1040" s="6" t="s">
        <v>20</v>
      </c>
      <c r="I1040" s="5" t="s">
        <v>21</v>
      </c>
      <c r="J1040" s="4" t="s">
        <v>22</v>
      </c>
      <c r="K1040" s="2" t="s">
        <v>23</v>
      </c>
      <c r="L1040" s="6" t="s">
        <v>24</v>
      </c>
      <c r="M1040" s="5" t="s">
        <v>25</v>
      </c>
      <c r="N1040" s="3" t="s">
        <v>26</v>
      </c>
      <c r="O1040" s="5">
        <v>2</v>
      </c>
      <c r="P1040" s="3" t="s">
        <v>23</v>
      </c>
      <c r="Q1040" s="5"/>
    </row>
    <row r="1041" spans="1:17" ht="93">
      <c r="A1041" s="5">
        <v>1036</v>
      </c>
      <c r="B1041" s="6" t="s">
        <v>16</v>
      </c>
      <c r="C1041" s="5" t="str">
        <f>HYPERLINK("http://data.overheid.nl/data/dataset/nis-verkeersvoorzieningen-hwn-videocamarasytemen-vad","NIS Verkeersvoorzieningen HWN: Videocamarasytemen (VAD)")</f>
        <v>NIS Verkeersvoorzieningen HWN: Videocamarasytemen (VAD)</v>
      </c>
      <c r="D1041" s="6" t="s">
        <v>17</v>
      </c>
      <c r="E1041" s="5" t="s">
        <v>18</v>
      </c>
      <c r="F1041" s="6" t="s">
        <v>813</v>
      </c>
      <c r="G1041" s="5" t="s">
        <v>672</v>
      </c>
      <c r="H1041" s="6" t="s">
        <v>28</v>
      </c>
      <c r="I1041" s="5" t="s">
        <v>21</v>
      </c>
      <c r="J1041" s="4" t="s">
        <v>22</v>
      </c>
      <c r="K1041" s="2" t="s">
        <v>23</v>
      </c>
      <c r="L1041" s="6" t="s">
        <v>24</v>
      </c>
      <c r="M1041" s="5" t="s">
        <v>25</v>
      </c>
      <c r="N1041" s="3" t="s">
        <v>26</v>
      </c>
      <c r="O1041" s="5">
        <v>4</v>
      </c>
      <c r="P1041" s="3" t="s">
        <v>23</v>
      </c>
      <c r="Q1041" s="5"/>
    </row>
    <row r="1042" spans="1:17" ht="93">
      <c r="A1042" s="5">
        <v>1037</v>
      </c>
      <c r="B1042" s="6" t="s">
        <v>16</v>
      </c>
      <c r="C1042" s="5" t="str">
        <f>HYPERLINK("http://data.overheid.nl/data/dataset/nis-verkeersvoorzieningen-hwn-verkeersregeling","NIS Verkeersvoorzieningen HWN: Verkeersregeling")</f>
        <v>NIS Verkeersvoorzieningen HWN: Verkeersregeling</v>
      </c>
      <c r="D1042" s="6" t="s">
        <v>17</v>
      </c>
      <c r="E1042" s="5" t="s">
        <v>18</v>
      </c>
      <c r="F1042" s="6" t="s">
        <v>813</v>
      </c>
      <c r="G1042" s="5" t="s">
        <v>672</v>
      </c>
      <c r="H1042" s="6" t="s">
        <v>20</v>
      </c>
      <c r="I1042" s="5" t="s">
        <v>21</v>
      </c>
      <c r="J1042" s="4" t="s">
        <v>22</v>
      </c>
      <c r="K1042" s="2" t="s">
        <v>23</v>
      </c>
      <c r="L1042" s="6" t="s">
        <v>24</v>
      </c>
      <c r="M1042" s="5" t="s">
        <v>25</v>
      </c>
      <c r="N1042" s="3" t="s">
        <v>26</v>
      </c>
      <c r="O1042" s="5">
        <v>6</v>
      </c>
      <c r="P1042" s="3" t="s">
        <v>23</v>
      </c>
      <c r="Q1042" s="5"/>
    </row>
    <row r="1043" spans="1:17" ht="93">
      <c r="A1043" s="5">
        <v>1038</v>
      </c>
      <c r="B1043" s="6" t="s">
        <v>16</v>
      </c>
      <c r="C1043" s="5" t="str">
        <f>HYPERLINK("http://data.overheid.nl/data/dataset/nis-verkeersvoorzieningen-hwn-verkeersignalering","NIS Verkeersvoorzieningen HWN: Verkeersignalering")</f>
        <v>NIS Verkeersvoorzieningen HWN: Verkeersignalering</v>
      </c>
      <c r="D1043" s="6" t="s">
        <v>17</v>
      </c>
      <c r="E1043" s="5" t="s">
        <v>18</v>
      </c>
      <c r="F1043" s="6" t="s">
        <v>813</v>
      </c>
      <c r="G1043" s="5" t="s">
        <v>672</v>
      </c>
      <c r="H1043" s="6" t="s">
        <v>28</v>
      </c>
      <c r="I1043" s="5" t="s">
        <v>21</v>
      </c>
      <c r="J1043" s="4" t="s">
        <v>22</v>
      </c>
      <c r="K1043" s="2" t="s">
        <v>23</v>
      </c>
      <c r="L1043" s="6" t="s">
        <v>24</v>
      </c>
      <c r="M1043" s="5" t="s">
        <v>25</v>
      </c>
      <c r="N1043" s="3" t="s">
        <v>26</v>
      </c>
      <c r="O1043" s="5">
        <v>4</v>
      </c>
      <c r="P1043" s="3" t="s">
        <v>23</v>
      </c>
      <c r="Q1043" s="5"/>
    </row>
    <row r="1044" spans="1:17" ht="93">
      <c r="A1044" s="5">
        <v>1039</v>
      </c>
      <c r="B1044" s="6" t="s">
        <v>16</v>
      </c>
      <c r="C1044" s="5" t="str">
        <f>HYPERLINK("http://data.overheid.nl/data/dataset/nis-verkeersvoorzieningen-hwn-snelheidsmaatregel","NIS Verkeersvoorzieningen HWN: Snelheidsmaatregel")</f>
        <v>NIS Verkeersvoorzieningen HWN: Snelheidsmaatregel</v>
      </c>
      <c r="D1044" s="6" t="s">
        <v>17</v>
      </c>
      <c r="E1044" s="5" t="s">
        <v>18</v>
      </c>
      <c r="F1044" s="6" t="s">
        <v>813</v>
      </c>
      <c r="G1044" s="5" t="s">
        <v>672</v>
      </c>
      <c r="H1044" s="6" t="s">
        <v>20</v>
      </c>
      <c r="I1044" s="5" t="s">
        <v>21</v>
      </c>
      <c r="J1044" s="4" t="s">
        <v>22</v>
      </c>
      <c r="K1044" s="2" t="s">
        <v>23</v>
      </c>
      <c r="L1044" s="6" t="s">
        <v>24</v>
      </c>
      <c r="M1044" s="5" t="s">
        <v>25</v>
      </c>
      <c r="N1044" s="3" t="s">
        <v>26</v>
      </c>
      <c r="O1044" s="5">
        <v>2</v>
      </c>
      <c r="P1044" s="3" t="s">
        <v>23</v>
      </c>
      <c r="Q1044" s="5"/>
    </row>
    <row r="1045" spans="1:17" ht="93">
      <c r="A1045" s="5">
        <v>1040</v>
      </c>
      <c r="B1045" s="6" t="s">
        <v>16</v>
      </c>
      <c r="C1045" s="5" t="str">
        <f>HYPERLINK("http://data.overheid.nl/data/dataset/nis-verkeersvoorzieningen-hwn-rotatiepaneel-argumentatiebord","NIS Verkeersvoorzieningen HWN: Rotatiepaneel Argumentatiebord")</f>
        <v>NIS Verkeersvoorzieningen HWN: Rotatiepaneel Argumentatiebord</v>
      </c>
      <c r="D1045" s="6" t="s">
        <v>17</v>
      </c>
      <c r="E1045" s="5" t="s">
        <v>18</v>
      </c>
      <c r="F1045" s="6" t="s">
        <v>813</v>
      </c>
      <c r="G1045" s="5" t="s">
        <v>672</v>
      </c>
      <c r="H1045" s="6" t="s">
        <v>28</v>
      </c>
      <c r="I1045" s="5" t="s">
        <v>21</v>
      </c>
      <c r="J1045" s="4" t="s">
        <v>22</v>
      </c>
      <c r="K1045" s="2" t="s">
        <v>23</v>
      </c>
      <c r="L1045" s="6" t="s">
        <v>24</v>
      </c>
      <c r="M1045" s="5" t="s">
        <v>25</v>
      </c>
      <c r="N1045" s="3" t="s">
        <v>26</v>
      </c>
      <c r="O1045" s="5">
        <v>4</v>
      </c>
      <c r="P1045" s="3" t="s">
        <v>23</v>
      </c>
      <c r="Q1045" s="5"/>
    </row>
    <row r="1046" spans="1:17" ht="93">
      <c r="A1046" s="5">
        <v>1041</v>
      </c>
      <c r="B1046" s="6" t="s">
        <v>16</v>
      </c>
      <c r="C1046" s="5" t="str">
        <f>HYPERLINK("http://data.overheid.nl/data/dataset/nis-verkeersvoorzieningen-hwn-monitoringobjecten-01","NIS Verkeersvoorzieningen HWN: Monitoringobjecten")</f>
        <v>NIS Verkeersvoorzieningen HWN: Monitoringobjecten</v>
      </c>
      <c r="D1046" s="6" t="s">
        <v>17</v>
      </c>
      <c r="E1046" s="5" t="s">
        <v>18</v>
      </c>
      <c r="F1046" s="6" t="s">
        <v>813</v>
      </c>
      <c r="G1046" s="5" t="s">
        <v>672</v>
      </c>
      <c r="H1046" s="6" t="s">
        <v>20</v>
      </c>
      <c r="I1046" s="5" t="s">
        <v>21</v>
      </c>
      <c r="J1046" s="4" t="s">
        <v>22</v>
      </c>
      <c r="K1046" s="2" t="s">
        <v>23</v>
      </c>
      <c r="L1046" s="6" t="s">
        <v>24</v>
      </c>
      <c r="M1046" s="5" t="s">
        <v>25</v>
      </c>
      <c r="N1046" s="3" t="s">
        <v>26</v>
      </c>
      <c r="O1046" s="5">
        <v>16</v>
      </c>
      <c r="P1046" s="3" t="s">
        <v>23</v>
      </c>
      <c r="Q1046" s="5"/>
    </row>
    <row r="1047" spans="1:17" ht="93">
      <c r="A1047" s="5">
        <v>1042</v>
      </c>
      <c r="B1047" s="6" t="s">
        <v>16</v>
      </c>
      <c r="C1047" s="5" t="str">
        <f>HYPERLINK("http://data.overheid.nl/data/dataset/nis-verkeersvoorzieningen-hwn-monitoringobjecten","NIS Verkeersvoorzieningen HWN: Monitoringobjecten")</f>
        <v>NIS Verkeersvoorzieningen HWN: Monitoringobjecten</v>
      </c>
      <c r="D1047" s="6" t="s">
        <v>17</v>
      </c>
      <c r="E1047" s="5" t="s">
        <v>18</v>
      </c>
      <c r="F1047" s="6" t="s">
        <v>813</v>
      </c>
      <c r="G1047" s="5" t="s">
        <v>672</v>
      </c>
      <c r="H1047" s="6" t="s">
        <v>28</v>
      </c>
      <c r="I1047" s="5" t="s">
        <v>21</v>
      </c>
      <c r="J1047" s="4" t="s">
        <v>22</v>
      </c>
      <c r="K1047" s="2" t="s">
        <v>23</v>
      </c>
      <c r="L1047" s="6" t="s">
        <v>24</v>
      </c>
      <c r="M1047" s="5" t="s">
        <v>25</v>
      </c>
      <c r="N1047" s="3" t="s">
        <v>26</v>
      </c>
      <c r="O1047" s="5">
        <v>2</v>
      </c>
      <c r="P1047" s="3" t="s">
        <v>23</v>
      </c>
      <c r="Q1047" s="5"/>
    </row>
    <row r="1048" spans="1:17" ht="93">
      <c r="A1048" s="5">
        <v>1043</v>
      </c>
      <c r="B1048" s="6" t="s">
        <v>16</v>
      </c>
      <c r="C1048" s="5" t="str">
        <f>HYPERLINK("http://data.overheid.nl/data/dataset/nis-verkeersvoorzieningen-hwn-monitoring","NIS Verkeersvoorzieningen HWN: Monitoring")</f>
        <v>NIS Verkeersvoorzieningen HWN: Monitoring</v>
      </c>
      <c r="D1048" s="6" t="s">
        <v>17</v>
      </c>
      <c r="E1048" s="5" t="s">
        <v>18</v>
      </c>
      <c r="F1048" s="6" t="s">
        <v>813</v>
      </c>
      <c r="G1048" s="5" t="s">
        <v>672</v>
      </c>
      <c r="H1048" s="6" t="s">
        <v>20</v>
      </c>
      <c r="I1048" s="5" t="s">
        <v>21</v>
      </c>
      <c r="J1048" s="4" t="s">
        <v>22</v>
      </c>
      <c r="K1048" s="2" t="s">
        <v>23</v>
      </c>
      <c r="L1048" s="6" t="s">
        <v>24</v>
      </c>
      <c r="M1048" s="5" t="s">
        <v>25</v>
      </c>
      <c r="N1048" s="3" t="s">
        <v>26</v>
      </c>
      <c r="O1048" s="5">
        <v>2</v>
      </c>
      <c r="P1048" s="3" t="s">
        <v>23</v>
      </c>
      <c r="Q1048" s="5"/>
    </row>
    <row r="1049" spans="1:17" ht="93">
      <c r="A1049" s="5">
        <v>1044</v>
      </c>
      <c r="B1049" s="6" t="s">
        <v>16</v>
      </c>
      <c r="C1049" s="5" t="str">
        <f>HYPERLINK("http://data.overheid.nl/data/dataset/nis-verkeersvoorzieningen-hwn-inhaalverboden-vrachtverkeer","NIS Verkeersvoorzieningen HWN: Inhaalverboden vrachtverkeer")</f>
        <v>NIS Verkeersvoorzieningen HWN: Inhaalverboden vrachtverkeer</v>
      </c>
      <c r="D1049" s="6" t="s">
        <v>17</v>
      </c>
      <c r="E1049" s="5" t="s">
        <v>18</v>
      </c>
      <c r="F1049" s="6" t="s">
        <v>813</v>
      </c>
      <c r="G1049" s="5" t="s">
        <v>672</v>
      </c>
      <c r="H1049" s="6" t="s">
        <v>28</v>
      </c>
      <c r="I1049" s="5" t="s">
        <v>21</v>
      </c>
      <c r="J1049" s="4" t="s">
        <v>22</v>
      </c>
      <c r="K1049" s="2" t="s">
        <v>23</v>
      </c>
      <c r="L1049" s="6" t="s">
        <v>24</v>
      </c>
      <c r="M1049" s="5" t="s">
        <v>25</v>
      </c>
      <c r="N1049" s="3" t="s">
        <v>26</v>
      </c>
      <c r="O1049" s="5">
        <v>2</v>
      </c>
      <c r="P1049" s="3" t="s">
        <v>23</v>
      </c>
      <c r="Q1049" s="5"/>
    </row>
    <row r="1050" spans="1:17" ht="93">
      <c r="A1050" s="5">
        <v>1045</v>
      </c>
      <c r="B1050" s="6" t="s">
        <v>16</v>
      </c>
      <c r="C1050" s="5" t="str">
        <f>HYPERLINK("http://data.overheid.nl/data/dataset/nis-verkeersvoorzieningen-hwn-gms-systemen","NIS Verkeersvoorzieningen HWN: GMS Systemen")</f>
        <v>NIS Verkeersvoorzieningen HWN: GMS Systemen</v>
      </c>
      <c r="D1050" s="6" t="s">
        <v>17</v>
      </c>
      <c r="E1050" s="5" t="s">
        <v>18</v>
      </c>
      <c r="F1050" s="6" t="s">
        <v>813</v>
      </c>
      <c r="G1050" s="5" t="s">
        <v>672</v>
      </c>
      <c r="H1050" s="6" t="s">
        <v>20</v>
      </c>
      <c r="I1050" s="5" t="s">
        <v>21</v>
      </c>
      <c r="J1050" s="4" t="s">
        <v>22</v>
      </c>
      <c r="K1050" s="2" t="s">
        <v>23</v>
      </c>
      <c r="L1050" s="6" t="s">
        <v>24</v>
      </c>
      <c r="M1050" s="5" t="s">
        <v>25</v>
      </c>
      <c r="N1050" s="3" t="s">
        <v>26</v>
      </c>
      <c r="O1050" s="5">
        <v>6</v>
      </c>
      <c r="P1050" s="3" t="s">
        <v>23</v>
      </c>
      <c r="Q1050" s="5"/>
    </row>
    <row r="1051" spans="1:17" ht="93">
      <c r="A1051" s="5">
        <v>1046</v>
      </c>
      <c r="B1051" s="6" t="s">
        <v>16</v>
      </c>
      <c r="C1051" s="5" t="str">
        <f>HYPERLINK("http://data.overheid.nl/data/dataset/nis-verkeersvoorzieningen-hwn-functionele-stroken","NIS Verkeersvoorzieningen HWN: Functionele stroken")</f>
        <v>NIS Verkeersvoorzieningen HWN: Functionele stroken</v>
      </c>
      <c r="D1051" s="6" t="s">
        <v>17</v>
      </c>
      <c r="E1051" s="5" t="s">
        <v>18</v>
      </c>
      <c r="F1051" s="6" t="s">
        <v>813</v>
      </c>
      <c r="G1051" s="5" t="s">
        <v>672</v>
      </c>
      <c r="H1051" s="6" t="s">
        <v>28</v>
      </c>
      <c r="I1051" s="5" t="s">
        <v>21</v>
      </c>
      <c r="J1051" s="4" t="s">
        <v>22</v>
      </c>
      <c r="K1051" s="2" t="s">
        <v>23</v>
      </c>
      <c r="L1051" s="6" t="s">
        <v>24</v>
      </c>
      <c r="M1051" s="5" t="s">
        <v>25</v>
      </c>
      <c r="N1051" s="3" t="s">
        <v>26</v>
      </c>
      <c r="O1051" s="5">
        <v>2</v>
      </c>
      <c r="P1051" s="3" t="s">
        <v>23</v>
      </c>
      <c r="Q1051" s="5"/>
    </row>
    <row r="1052" spans="1:17" ht="93">
      <c r="A1052" s="5">
        <v>1047</v>
      </c>
      <c r="B1052" s="6" t="s">
        <v>16</v>
      </c>
      <c r="C1052" s="5" t="str">
        <f>HYPERLINK("http://data.overheid.nl/data/dataset/nis-verkeersvoorzieningen-hwn-dynamische-trajectgegevens","NIS Verkeersvoorzieningen HWN: Dynamische trajectgegevens")</f>
        <v>NIS Verkeersvoorzieningen HWN: Dynamische trajectgegevens</v>
      </c>
      <c r="D1052" s="6" t="s">
        <v>17</v>
      </c>
      <c r="E1052" s="5" t="s">
        <v>18</v>
      </c>
      <c r="F1052" s="6" t="s">
        <v>813</v>
      </c>
      <c r="G1052" s="5" t="s">
        <v>672</v>
      </c>
      <c r="H1052" s="6" t="s">
        <v>20</v>
      </c>
      <c r="I1052" s="5" t="s">
        <v>21</v>
      </c>
      <c r="J1052" s="4" t="s">
        <v>22</v>
      </c>
      <c r="K1052" s="2" t="s">
        <v>23</v>
      </c>
      <c r="L1052" s="6" t="s">
        <v>24</v>
      </c>
      <c r="M1052" s="5" t="s">
        <v>25</v>
      </c>
      <c r="N1052" s="3" t="s">
        <v>26</v>
      </c>
      <c r="O1052" s="5">
        <v>2</v>
      </c>
      <c r="P1052" s="3" t="s">
        <v>23</v>
      </c>
      <c r="Q1052" s="5"/>
    </row>
    <row r="1053" spans="1:17" ht="93">
      <c r="A1053" s="5">
        <v>1048</v>
      </c>
      <c r="B1053" s="6" t="s">
        <v>16</v>
      </c>
      <c r="C1053" s="5" t="str">
        <f>HYPERLINK("http://data.overheid.nl/data/dataset/nis-verkeersvoorzieningen-hwn-drip","NIS Verkeersvoorzieningen HWN: DRIP")</f>
        <v>NIS Verkeersvoorzieningen HWN: DRIP</v>
      </c>
      <c r="D1053" s="6" t="s">
        <v>17</v>
      </c>
      <c r="E1053" s="5" t="s">
        <v>18</v>
      </c>
      <c r="F1053" s="6" t="s">
        <v>813</v>
      </c>
      <c r="G1053" s="5" t="s">
        <v>672</v>
      </c>
      <c r="H1053" s="6" t="s">
        <v>28</v>
      </c>
      <c r="I1053" s="5" t="s">
        <v>21</v>
      </c>
      <c r="J1053" s="4" t="s">
        <v>22</v>
      </c>
      <c r="K1053" s="2" t="s">
        <v>23</v>
      </c>
      <c r="L1053" s="6" t="s">
        <v>24</v>
      </c>
      <c r="M1053" s="5" t="s">
        <v>25</v>
      </c>
      <c r="N1053" s="3" t="s">
        <v>26</v>
      </c>
      <c r="O1053" s="5">
        <v>6</v>
      </c>
      <c r="P1053" s="3" t="s">
        <v>23</v>
      </c>
      <c r="Q1053" s="5"/>
    </row>
    <row r="1054" spans="1:17" ht="93">
      <c r="A1054" s="5">
        <v>1049</v>
      </c>
      <c r="B1054" s="6" t="s">
        <v>16</v>
      </c>
      <c r="C1054" s="5" t="str">
        <f>HYPERLINK("http://data.overheid.nl/data/dataset/nis-verkeersvoorzieningen-hwn-doelgroepstroken","NIS Verkeersvoorzieningen HWN: Doelgroepstroken")</f>
        <v>NIS Verkeersvoorzieningen HWN: Doelgroepstroken</v>
      </c>
      <c r="D1054" s="6" t="s">
        <v>17</v>
      </c>
      <c r="E1054" s="5" t="s">
        <v>18</v>
      </c>
      <c r="F1054" s="6" t="s">
        <v>813</v>
      </c>
      <c r="G1054" s="5" t="s">
        <v>672</v>
      </c>
      <c r="H1054" s="6" t="s">
        <v>20</v>
      </c>
      <c r="I1054" s="5" t="s">
        <v>21</v>
      </c>
      <c r="J1054" s="4" t="s">
        <v>22</v>
      </c>
      <c r="K1054" s="2" t="s">
        <v>23</v>
      </c>
      <c r="L1054" s="6" t="s">
        <v>24</v>
      </c>
      <c r="M1054" s="5" t="s">
        <v>25</v>
      </c>
      <c r="N1054" s="3" t="s">
        <v>26</v>
      </c>
      <c r="O1054" s="5">
        <v>4</v>
      </c>
      <c r="P1054" s="3" t="s">
        <v>23</v>
      </c>
      <c r="Q1054" s="5"/>
    </row>
    <row r="1055" spans="1:17" ht="46.5">
      <c r="A1055" s="5">
        <v>1050</v>
      </c>
      <c r="B1055" s="6" t="s">
        <v>16</v>
      </c>
      <c r="C1055" s="5" t="str">
        <f>HYPERLINK("http://data.overheid.nl/data/dataset/nis-meerjarenplanning-verhardingsonderhoud-mjpv","NIS Meerjarenplanning Verhardingsonderhoud (MJPV)")</f>
        <v>NIS Meerjarenplanning Verhardingsonderhoud (MJPV)</v>
      </c>
      <c r="D1055" s="6" t="s">
        <v>17</v>
      </c>
      <c r="E1055" s="5" t="s">
        <v>18</v>
      </c>
      <c r="F1055" s="6" t="s">
        <v>813</v>
      </c>
      <c r="G1055" s="5" t="s">
        <v>673</v>
      </c>
      <c r="H1055" s="6" t="s">
        <v>28</v>
      </c>
      <c r="I1055" s="5" t="s">
        <v>21</v>
      </c>
      <c r="J1055" s="4" t="s">
        <v>22</v>
      </c>
      <c r="K1055" s="2" t="s">
        <v>23</v>
      </c>
      <c r="L1055" s="6" t="s">
        <v>24</v>
      </c>
      <c r="M1055" s="5" t="s">
        <v>25</v>
      </c>
      <c r="N1055" s="3" t="s">
        <v>26</v>
      </c>
      <c r="O1055" s="5">
        <v>10</v>
      </c>
      <c r="P1055" s="3" t="s">
        <v>23</v>
      </c>
      <c r="Q1055" s="5"/>
    </row>
    <row r="1056" spans="1:17" ht="170.5">
      <c r="A1056" s="5">
        <v>1051</v>
      </c>
      <c r="B1056" s="6" t="s">
        <v>16</v>
      </c>
      <c r="C1056" s="5" t="str">
        <f>HYPERLINK("http://data.overheid.nl/data/dataset/nis-levering-januari-2016-beheerkaart-nat-landelijke-laag-vverkeersvoorziening","NIS-levering januari 2016 Beheerkaart Nat landelijke laag vVerkeersvoorziening")</f>
        <v>NIS-levering januari 2016 Beheerkaart Nat landelijke laag vVerkeersvoorziening</v>
      </c>
      <c r="D1056" s="6" t="s">
        <v>17</v>
      </c>
      <c r="E1056" s="5" t="s">
        <v>18</v>
      </c>
      <c r="F1056" s="6" t="s">
        <v>813</v>
      </c>
      <c r="G1056" s="5" t="s">
        <v>674</v>
      </c>
      <c r="H1056" s="6" t="s">
        <v>28</v>
      </c>
      <c r="I1056" s="5" t="s">
        <v>21</v>
      </c>
      <c r="J1056" s="4" t="s">
        <v>22</v>
      </c>
      <c r="K1056" s="2" t="s">
        <v>23</v>
      </c>
      <c r="L1056" s="6" t="s">
        <v>24</v>
      </c>
      <c r="M1056" s="5" t="s">
        <v>25</v>
      </c>
      <c r="N1056" s="3" t="s">
        <v>26</v>
      </c>
      <c r="O1056" s="5">
        <v>4</v>
      </c>
      <c r="P1056" s="3" t="s">
        <v>23</v>
      </c>
      <c r="Q1056" s="5"/>
    </row>
    <row r="1057" spans="1:17" ht="170.5">
      <c r="A1057" s="5">
        <v>1052</v>
      </c>
      <c r="B1057" s="6" t="s">
        <v>16</v>
      </c>
      <c r="C1057" s="5" t="str">
        <f>HYPERLINK("http://data.overheid.nl/data/dataset/nis-levering-januari-2016-beheerkaart-nat-landelijke-laag-vkunstwerk","NIS-levering januari 2016 Beheerkaart Nat landelijke laag vKunstwerk")</f>
        <v>NIS-levering januari 2016 Beheerkaart Nat landelijke laag vKunstwerk</v>
      </c>
      <c r="D1057" s="6" t="s">
        <v>17</v>
      </c>
      <c r="E1057" s="5" t="s">
        <v>18</v>
      </c>
      <c r="F1057" s="6" t="s">
        <v>813</v>
      </c>
      <c r="G1057" s="5" t="s">
        <v>674</v>
      </c>
      <c r="H1057" s="6" t="s">
        <v>28</v>
      </c>
      <c r="I1057" s="5" t="s">
        <v>21</v>
      </c>
      <c r="J1057" s="4" t="s">
        <v>22</v>
      </c>
      <c r="K1057" s="2" t="s">
        <v>23</v>
      </c>
      <c r="L1057" s="6" t="s">
        <v>24</v>
      </c>
      <c r="M1057" s="5" t="s">
        <v>25</v>
      </c>
      <c r="N1057" s="3" t="s">
        <v>26</v>
      </c>
      <c r="O1057" s="5">
        <v>4</v>
      </c>
      <c r="P1057" s="3" t="s">
        <v>23</v>
      </c>
      <c r="Q1057" s="5"/>
    </row>
    <row r="1058" spans="1:17" ht="170.5">
      <c r="A1058" s="5">
        <v>1053</v>
      </c>
      <c r="B1058" s="6" t="s">
        <v>16</v>
      </c>
      <c r="C1058" s="5" t="str">
        <f>HYPERLINK("http://data.overheid.nl/data/dataset/nis-levering-januari-2016-beheerkaart-nat-landelijke-laag-vexploitatie","NIS-levering januari 2016 Beheerkaart Nat landelijke laag vExploitatie")</f>
        <v>NIS-levering januari 2016 Beheerkaart Nat landelijke laag vExploitatie</v>
      </c>
      <c r="D1058" s="6" t="s">
        <v>17</v>
      </c>
      <c r="E1058" s="5" t="s">
        <v>18</v>
      </c>
      <c r="F1058" s="6" t="s">
        <v>813</v>
      </c>
      <c r="G1058" s="5" t="s">
        <v>674</v>
      </c>
      <c r="H1058" s="6" t="s">
        <v>28</v>
      </c>
      <c r="I1058" s="5" t="s">
        <v>21</v>
      </c>
      <c r="J1058" s="4" t="s">
        <v>22</v>
      </c>
      <c r="K1058" s="2" t="s">
        <v>23</v>
      </c>
      <c r="L1058" s="6" t="s">
        <v>24</v>
      </c>
      <c r="M1058" s="5" t="s">
        <v>25</v>
      </c>
      <c r="N1058" s="3" t="s">
        <v>26</v>
      </c>
      <c r="O1058" s="5">
        <v>4</v>
      </c>
      <c r="P1058" s="3" t="s">
        <v>23</v>
      </c>
      <c r="Q1058" s="5"/>
    </row>
    <row r="1059" spans="1:17" ht="170.5">
      <c r="A1059" s="5">
        <v>1054</v>
      </c>
      <c r="B1059" s="6" t="s">
        <v>16</v>
      </c>
      <c r="C1059" s="5" t="str">
        <f>HYPERLINK("http://data.overheid.nl/data/dataset/nis-levering-januari-2016-beheerkaart-nat-landelijke-laag-pwater","NIS-levering januari 2016 Beheerkaart Nat landelijke laag pWater")</f>
        <v>NIS-levering januari 2016 Beheerkaart Nat landelijke laag pWater</v>
      </c>
      <c r="D1059" s="6" t="s">
        <v>17</v>
      </c>
      <c r="E1059" s="5" t="s">
        <v>18</v>
      </c>
      <c r="F1059" s="6" t="s">
        <v>813</v>
      </c>
      <c r="G1059" s="5" t="s">
        <v>674</v>
      </c>
      <c r="H1059" s="6" t="s">
        <v>28</v>
      </c>
      <c r="I1059" s="5" t="s">
        <v>21</v>
      </c>
      <c r="J1059" s="4" t="s">
        <v>22</v>
      </c>
      <c r="K1059" s="2" t="s">
        <v>23</v>
      </c>
      <c r="L1059" s="6" t="s">
        <v>24</v>
      </c>
      <c r="M1059" s="5" t="s">
        <v>25</v>
      </c>
      <c r="N1059" s="3" t="s">
        <v>26</v>
      </c>
      <c r="O1059" s="5">
        <v>4</v>
      </c>
      <c r="P1059" s="3" t="s">
        <v>23</v>
      </c>
      <c r="Q1059" s="5"/>
    </row>
    <row r="1060" spans="1:17" ht="170.5">
      <c r="A1060" s="5">
        <v>1055</v>
      </c>
      <c r="B1060" s="6" t="s">
        <v>16</v>
      </c>
      <c r="C1060" s="5" t="str">
        <f>HYPERLINK("http://data.overheid.nl/data/dataset/nis-levering-januari-2016-beheerkaart-nat-landelijke-laag-pkunstwerk","NIS-levering januari 2016 Beheerkaart Nat landelijke laag pKunstwerk")</f>
        <v>NIS-levering januari 2016 Beheerkaart Nat landelijke laag pKunstwerk</v>
      </c>
      <c r="D1060" s="6" t="s">
        <v>17</v>
      </c>
      <c r="E1060" s="5" t="s">
        <v>18</v>
      </c>
      <c r="F1060" s="6" t="s">
        <v>813</v>
      </c>
      <c r="G1060" s="5" t="s">
        <v>674</v>
      </c>
      <c r="H1060" s="6" t="s">
        <v>20</v>
      </c>
      <c r="I1060" s="5" t="s">
        <v>21</v>
      </c>
      <c r="J1060" s="4" t="s">
        <v>22</v>
      </c>
      <c r="K1060" s="2" t="s">
        <v>23</v>
      </c>
      <c r="L1060" s="6" t="s">
        <v>24</v>
      </c>
      <c r="M1060" s="5" t="s">
        <v>25</v>
      </c>
      <c r="N1060" s="3" t="s">
        <v>26</v>
      </c>
      <c r="O1060" s="5">
        <v>4</v>
      </c>
      <c r="P1060" s="3" t="s">
        <v>23</v>
      </c>
      <c r="Q1060" s="5"/>
    </row>
    <row r="1061" spans="1:17" ht="170.5">
      <c r="A1061" s="5">
        <v>1056</v>
      </c>
      <c r="B1061" s="6" t="s">
        <v>16</v>
      </c>
      <c r="C1061" s="5" t="str">
        <f>HYPERLINK("http://data.overheid.nl/data/dataset/nis-levering-januari-2016-beheerkaart-nat-landelijke-laag-loever","NIS-levering januari 2016 Beheerkaart Nat landelijke laag lOever")</f>
        <v>NIS-levering januari 2016 Beheerkaart Nat landelijke laag lOever</v>
      </c>
      <c r="D1061" s="6" t="s">
        <v>17</v>
      </c>
      <c r="E1061" s="5" t="s">
        <v>18</v>
      </c>
      <c r="F1061" s="6" t="s">
        <v>813</v>
      </c>
      <c r="G1061" s="5" t="s">
        <v>674</v>
      </c>
      <c r="H1061" s="6" t="s">
        <v>20</v>
      </c>
      <c r="I1061" s="5" t="s">
        <v>21</v>
      </c>
      <c r="J1061" s="4" t="s">
        <v>22</v>
      </c>
      <c r="K1061" s="2" t="s">
        <v>23</v>
      </c>
      <c r="L1061" s="6" t="s">
        <v>24</v>
      </c>
      <c r="M1061" s="5" t="s">
        <v>25</v>
      </c>
      <c r="N1061" s="3" t="s">
        <v>26</v>
      </c>
      <c r="O1061" s="5">
        <v>4</v>
      </c>
      <c r="P1061" s="3" t="s">
        <v>23</v>
      </c>
      <c r="Q1061" s="5"/>
    </row>
    <row r="1062" spans="1:17" ht="170.5">
      <c r="A1062" s="5">
        <v>1057</v>
      </c>
      <c r="B1062" s="6" t="s">
        <v>16</v>
      </c>
      <c r="C1062" s="5" t="str">
        <f>HYPERLINK("http://data.overheid.nl/data/dataset/nis-levering-januari-2016-beheerkaart-nat-landelijke-laag-lkunstwerk","NIS-levering januari 2016 Beheerkaart Nat landelijke laag lKunstwerk")</f>
        <v>NIS-levering januari 2016 Beheerkaart Nat landelijke laag lKunstwerk</v>
      </c>
      <c r="D1062" s="6" t="s">
        <v>17</v>
      </c>
      <c r="E1062" s="5" t="s">
        <v>18</v>
      </c>
      <c r="F1062" s="6" t="s">
        <v>813</v>
      </c>
      <c r="G1062" s="5" t="s">
        <v>674</v>
      </c>
      <c r="H1062" s="6" t="s">
        <v>20</v>
      </c>
      <c r="I1062" s="5" t="s">
        <v>21</v>
      </c>
      <c r="J1062" s="4" t="s">
        <v>22</v>
      </c>
      <c r="K1062" s="2" t="s">
        <v>23</v>
      </c>
      <c r="L1062" s="6" t="s">
        <v>24</v>
      </c>
      <c r="M1062" s="5" t="s">
        <v>25</v>
      </c>
      <c r="N1062" s="3" t="s">
        <v>26</v>
      </c>
      <c r="O1062" s="5">
        <v>4</v>
      </c>
      <c r="P1062" s="3" t="s">
        <v>23</v>
      </c>
      <c r="Q1062" s="5"/>
    </row>
    <row r="1063" spans="1:17" ht="124">
      <c r="A1063" s="5">
        <v>1058</v>
      </c>
      <c r="B1063" s="6" t="s">
        <v>16</v>
      </c>
      <c r="C1063" s="5" t="str">
        <f>HYPERLINK("http://data.overheid.nl/data/dataset/nationaal-wegen-bestand-wegen-wegvakken-01-02-03-04","Nationaal Wegen Bestand Wegen wegvakken")</f>
        <v>Nationaal Wegen Bestand Wegen wegvakken</v>
      </c>
      <c r="D1063" s="6" t="s">
        <v>17</v>
      </c>
      <c r="E1063" s="5" t="s">
        <v>18</v>
      </c>
      <c r="F1063" s="6" t="s">
        <v>813</v>
      </c>
      <c r="G1063" s="5" t="s">
        <v>675</v>
      </c>
      <c r="H1063" s="6" t="s">
        <v>28</v>
      </c>
      <c r="I1063" s="5" t="s">
        <v>21</v>
      </c>
      <c r="J1063" s="4" t="s">
        <v>22</v>
      </c>
      <c r="K1063" s="2" t="s">
        <v>23</v>
      </c>
      <c r="L1063" s="6" t="s">
        <v>24</v>
      </c>
      <c r="M1063" s="5" t="s">
        <v>25</v>
      </c>
      <c r="N1063" s="3" t="s">
        <v>26</v>
      </c>
      <c r="O1063" s="5">
        <v>28</v>
      </c>
      <c r="P1063" s="3" t="s">
        <v>23</v>
      </c>
      <c r="Q1063" s="5"/>
    </row>
    <row r="1064" spans="1:17" ht="124">
      <c r="A1064" s="5">
        <v>1059</v>
      </c>
      <c r="B1064" s="6" t="s">
        <v>16</v>
      </c>
      <c r="C1064" s="5" t="str">
        <f>HYPERLINK("http://data.overheid.nl/data/dataset/nationaal-wegen-bestand-wegen-wegvakken-01-02-03","Nationaal Wegen Bestand Wegen wegvakken")</f>
        <v>Nationaal Wegen Bestand Wegen wegvakken</v>
      </c>
      <c r="D1064" s="6" t="s">
        <v>17</v>
      </c>
      <c r="E1064" s="5" t="s">
        <v>18</v>
      </c>
      <c r="F1064" s="6" t="s">
        <v>813</v>
      </c>
      <c r="G1064" s="5" t="s">
        <v>19</v>
      </c>
      <c r="H1064" s="6" t="s">
        <v>20</v>
      </c>
      <c r="I1064" s="5" t="s">
        <v>21</v>
      </c>
      <c r="J1064" s="4" t="s">
        <v>22</v>
      </c>
      <c r="K1064" s="2" t="s">
        <v>23</v>
      </c>
      <c r="L1064" s="6" t="s">
        <v>24</v>
      </c>
      <c r="M1064" s="5" t="s">
        <v>25</v>
      </c>
      <c r="N1064" s="3" t="s">
        <v>26</v>
      </c>
      <c r="O1064" s="5">
        <v>14</v>
      </c>
      <c r="P1064" s="3" t="s">
        <v>23</v>
      </c>
      <c r="Q1064" s="5"/>
    </row>
    <row r="1065" spans="1:17" ht="409.5">
      <c r="A1065" s="5">
        <v>1060</v>
      </c>
      <c r="B1065" s="6" t="s">
        <v>16</v>
      </c>
      <c r="C1065" s="5" t="str">
        <f>HYPERLINK("http://data.overheid.nl/data/dataset/nationaal-wegen-bestand-wegen-light-01-02","Nationaal Wegen Bestand Wegen Light")</f>
        <v>Nationaal Wegen Bestand Wegen Light</v>
      </c>
      <c r="D1065" s="6" t="s">
        <v>17</v>
      </c>
      <c r="E1065" s="5" t="s">
        <v>18</v>
      </c>
      <c r="F1065" s="6" t="s">
        <v>813</v>
      </c>
      <c r="G1065" s="5" t="s">
        <v>676</v>
      </c>
      <c r="H1065" s="6" t="s">
        <v>20</v>
      </c>
      <c r="I1065" s="5" t="s">
        <v>21</v>
      </c>
      <c r="J1065" s="4" t="s">
        <v>22</v>
      </c>
      <c r="K1065" s="2" t="s">
        <v>23</v>
      </c>
      <c r="L1065" s="6" t="s">
        <v>24</v>
      </c>
      <c r="M1065" s="5" t="s">
        <v>25</v>
      </c>
      <c r="N1065" s="3" t="s">
        <v>26</v>
      </c>
      <c r="O1065" s="5">
        <v>40</v>
      </c>
      <c r="P1065" s="3" t="s">
        <v>23</v>
      </c>
      <c r="Q1065" s="5"/>
    </row>
    <row r="1066" spans="1:17" ht="409.5">
      <c r="A1066" s="5">
        <v>1061</v>
      </c>
      <c r="B1066" s="6" t="s">
        <v>16</v>
      </c>
      <c r="C1066" s="5" t="str">
        <f>HYPERLINK("http://data.overheid.nl/data/dataset/nationaal-wegen-bestand-wegen-light","Nationaal Wegen Bestand Wegen Light")</f>
        <v>Nationaal Wegen Bestand Wegen Light</v>
      </c>
      <c r="D1066" s="6" t="s">
        <v>17</v>
      </c>
      <c r="E1066" s="5" t="s">
        <v>18</v>
      </c>
      <c r="F1066" s="6" t="s">
        <v>813</v>
      </c>
      <c r="G1066" s="5" t="s">
        <v>677</v>
      </c>
      <c r="H1066" s="6" t="s">
        <v>20</v>
      </c>
      <c r="I1066" s="5" t="s">
        <v>21</v>
      </c>
      <c r="J1066" s="4" t="s">
        <v>22</v>
      </c>
      <c r="K1066" s="2" t="s">
        <v>23</v>
      </c>
      <c r="L1066" s="6" t="s">
        <v>24</v>
      </c>
      <c r="M1066" s="5" t="s">
        <v>25</v>
      </c>
      <c r="N1066" s="3" t="s">
        <v>26</v>
      </c>
      <c r="O1066" s="5">
        <v>2</v>
      </c>
      <c r="P1066" s="3" t="s">
        <v>23</v>
      </c>
      <c r="Q1066" s="5"/>
    </row>
    <row r="1067" spans="1:17" ht="124">
      <c r="A1067" s="5">
        <v>1062</v>
      </c>
      <c r="B1067" s="6" t="s">
        <v>16</v>
      </c>
      <c r="C1067" s="5" t="str">
        <f>HYPERLINK("http://data.overheid.nl/data/dataset/nationaal-wegen-bestand-wegen-hectopunten-01-02","Nationaal Wegen Bestand Wegen hectopunten")</f>
        <v>Nationaal Wegen Bestand Wegen hectopunten</v>
      </c>
      <c r="D1067" s="6" t="s">
        <v>17</v>
      </c>
      <c r="E1067" s="5" t="s">
        <v>18</v>
      </c>
      <c r="F1067" s="6" t="s">
        <v>813</v>
      </c>
      <c r="G1067" s="5" t="s">
        <v>678</v>
      </c>
      <c r="H1067" s="6" t="s">
        <v>20</v>
      </c>
      <c r="I1067" s="5" t="s">
        <v>21</v>
      </c>
      <c r="J1067" s="4" t="s">
        <v>22</v>
      </c>
      <c r="K1067" s="2" t="s">
        <v>23</v>
      </c>
      <c r="L1067" s="6" t="s">
        <v>24</v>
      </c>
      <c r="M1067" s="5" t="s">
        <v>25</v>
      </c>
      <c r="N1067" s="3" t="s">
        <v>26</v>
      </c>
      <c r="O1067" s="5">
        <v>28</v>
      </c>
      <c r="P1067" s="3" t="s">
        <v>23</v>
      </c>
      <c r="Q1067" s="5"/>
    </row>
    <row r="1068" spans="1:17" ht="62">
      <c r="A1068" s="5">
        <v>1063</v>
      </c>
      <c r="B1068" s="6" t="s">
        <v>16</v>
      </c>
      <c r="C1068" s="5" t="str">
        <f>HYPERLINK("http://data.overheid.nl/data/dataset/nationaal-wegen-bestand-vaarwegen-vaarwegvakken-01-02","Nationaal Wegen Bestand Vaarwegen vaarwegvakken")</f>
        <v>Nationaal Wegen Bestand Vaarwegen vaarwegvakken</v>
      </c>
      <c r="D1068" s="6" t="s">
        <v>17</v>
      </c>
      <c r="E1068" s="5" t="s">
        <v>18</v>
      </c>
      <c r="F1068" s="6" t="s">
        <v>813</v>
      </c>
      <c r="G1068" s="5" t="s">
        <v>679</v>
      </c>
      <c r="H1068" s="6" t="s">
        <v>20</v>
      </c>
      <c r="I1068" s="5" t="s">
        <v>21</v>
      </c>
      <c r="J1068" s="4" t="s">
        <v>22</v>
      </c>
      <c r="K1068" s="2" t="s">
        <v>23</v>
      </c>
      <c r="L1068" s="6" t="s">
        <v>24</v>
      </c>
      <c r="M1068" s="5" t="s">
        <v>25</v>
      </c>
      <c r="N1068" s="3" t="s">
        <v>26</v>
      </c>
      <c r="O1068" s="5">
        <v>8</v>
      </c>
      <c r="P1068" s="3" t="s">
        <v>23</v>
      </c>
      <c r="Q1068" s="5"/>
    </row>
    <row r="1069" spans="1:17" ht="62">
      <c r="A1069" s="5">
        <v>1064</v>
      </c>
      <c r="B1069" s="6" t="s">
        <v>16</v>
      </c>
      <c r="C1069" s="5" t="str">
        <f>HYPERLINK("http://data.overheid.nl/data/dataset/nationaal-wegen-bestand-vaarwegen-vaarwegvakken-01","Nationaal Wegen Bestand Vaarwegen vaarwegvakken")</f>
        <v>Nationaal Wegen Bestand Vaarwegen vaarwegvakken</v>
      </c>
      <c r="D1069" s="6" t="s">
        <v>17</v>
      </c>
      <c r="E1069" s="5" t="s">
        <v>18</v>
      </c>
      <c r="F1069" s="6" t="s">
        <v>813</v>
      </c>
      <c r="G1069" s="5" t="s">
        <v>679</v>
      </c>
      <c r="H1069" s="6" t="s">
        <v>20</v>
      </c>
      <c r="I1069" s="5" t="s">
        <v>21</v>
      </c>
      <c r="J1069" s="4" t="s">
        <v>22</v>
      </c>
      <c r="K1069" s="2" t="s">
        <v>23</v>
      </c>
      <c r="L1069" s="6" t="s">
        <v>24</v>
      </c>
      <c r="M1069" s="5" t="s">
        <v>25</v>
      </c>
      <c r="N1069" s="3" t="s">
        <v>26</v>
      </c>
      <c r="O1069" s="5">
        <v>6</v>
      </c>
      <c r="P1069" s="3" t="s">
        <v>23</v>
      </c>
      <c r="Q1069" s="5"/>
    </row>
    <row r="1070" spans="1:17" ht="62">
      <c r="A1070" s="5">
        <v>1065</v>
      </c>
      <c r="B1070" s="6" t="s">
        <v>16</v>
      </c>
      <c r="C1070" s="5" t="str">
        <f>HYPERLINK("http://data.overheid.nl/data/dataset/nationaal-wegen-bestand-vaarwegen-kilometermarkeringen","Nationaal Wegen Bestand Vaarwegen kilometermarkeringen")</f>
        <v>Nationaal Wegen Bestand Vaarwegen kilometermarkeringen</v>
      </c>
      <c r="D1070" s="6" t="s">
        <v>17</v>
      </c>
      <c r="E1070" s="5" t="s">
        <v>18</v>
      </c>
      <c r="F1070" s="6" t="s">
        <v>813</v>
      </c>
      <c r="G1070" s="5" t="s">
        <v>525</v>
      </c>
      <c r="H1070" s="6" t="s">
        <v>28</v>
      </c>
      <c r="I1070" s="5" t="s">
        <v>21</v>
      </c>
      <c r="J1070" s="4" t="s">
        <v>22</v>
      </c>
      <c r="K1070" s="2" t="s">
        <v>23</v>
      </c>
      <c r="L1070" s="6" t="s">
        <v>24</v>
      </c>
      <c r="M1070" s="5" t="s">
        <v>25</v>
      </c>
      <c r="N1070" s="3" t="s">
        <v>26</v>
      </c>
      <c r="O1070" s="5">
        <v>6</v>
      </c>
      <c r="P1070" s="3" t="s">
        <v>23</v>
      </c>
      <c r="Q1070" s="5"/>
    </row>
    <row r="1071" spans="1:17" ht="93">
      <c r="A1071" s="5">
        <v>1066</v>
      </c>
      <c r="B1071" s="6" t="s">
        <v>16</v>
      </c>
      <c r="C1071" s="5" t="str">
        <f>HYPERLINK("http://data.overheid.nl/data/dataset/nationaal-wegen-bestand-spoorwegen-treinstations-01","Nationaal Wegen Bestand Spoorwegen treinstations")</f>
        <v>Nationaal Wegen Bestand Spoorwegen treinstations</v>
      </c>
      <c r="D1071" s="6" t="s">
        <v>17</v>
      </c>
      <c r="E1071" s="5" t="s">
        <v>18</v>
      </c>
      <c r="F1071" s="6" t="s">
        <v>813</v>
      </c>
      <c r="G1071" s="5" t="s">
        <v>680</v>
      </c>
      <c r="H1071" s="6" t="s">
        <v>20</v>
      </c>
      <c r="I1071" s="5" t="s">
        <v>21</v>
      </c>
      <c r="J1071" s="4" t="s">
        <v>22</v>
      </c>
      <c r="K1071" s="2" t="s">
        <v>23</v>
      </c>
      <c r="L1071" s="6" t="s">
        <v>24</v>
      </c>
      <c r="M1071" s="5" t="s">
        <v>25</v>
      </c>
      <c r="N1071" s="3" t="s">
        <v>26</v>
      </c>
      <c r="O1071" s="5">
        <v>3</v>
      </c>
      <c r="P1071" s="3" t="s">
        <v>23</v>
      </c>
      <c r="Q1071" s="5"/>
    </row>
    <row r="1072" spans="1:17" ht="93">
      <c r="A1072" s="5">
        <v>1067</v>
      </c>
      <c r="B1072" s="6" t="s">
        <v>16</v>
      </c>
      <c r="C1072" s="5" t="str">
        <f>HYPERLINK("http://data.overheid.nl/data/dataset/nationaal-wegen-bestand-spoorwegen-oversteken-01","Nationaal Wegen Bestand Spoorwegen oversteken")</f>
        <v>Nationaal Wegen Bestand Spoorwegen oversteken</v>
      </c>
      <c r="D1072" s="6" t="s">
        <v>17</v>
      </c>
      <c r="E1072" s="5" t="s">
        <v>18</v>
      </c>
      <c r="F1072" s="6" t="s">
        <v>813</v>
      </c>
      <c r="G1072" s="5" t="s">
        <v>681</v>
      </c>
      <c r="H1072" s="6" t="s">
        <v>28</v>
      </c>
      <c r="I1072" s="5" t="s">
        <v>21</v>
      </c>
      <c r="J1072" s="4" t="s">
        <v>22</v>
      </c>
      <c r="K1072" s="2" t="s">
        <v>23</v>
      </c>
      <c r="L1072" s="6" t="s">
        <v>24</v>
      </c>
      <c r="M1072" s="5" t="s">
        <v>25</v>
      </c>
      <c r="N1072" s="3" t="s">
        <v>26</v>
      </c>
      <c r="O1072" s="5">
        <v>3</v>
      </c>
      <c r="P1072" s="3" t="s">
        <v>23</v>
      </c>
      <c r="Q1072" s="5"/>
    </row>
    <row r="1073" spans="1:17" ht="93">
      <c r="A1073" s="5">
        <v>1068</v>
      </c>
      <c r="B1073" s="6" t="s">
        <v>16</v>
      </c>
      <c r="C1073" s="5" t="str">
        <f>HYPERLINK("http://data.overheid.nl/data/dataset/nationaal-wegen-bestand-spoorwegen-overgangen-01","Nationaal Wegen Bestand Spoorwegen overgangen")</f>
        <v>Nationaal Wegen Bestand Spoorwegen overgangen</v>
      </c>
      <c r="D1073" s="6" t="s">
        <v>17</v>
      </c>
      <c r="E1073" s="5" t="s">
        <v>18</v>
      </c>
      <c r="F1073" s="6" t="s">
        <v>813</v>
      </c>
      <c r="G1073" s="5" t="s">
        <v>682</v>
      </c>
      <c r="H1073" s="6" t="s">
        <v>28</v>
      </c>
      <c r="I1073" s="5" t="s">
        <v>21</v>
      </c>
      <c r="J1073" s="4" t="s">
        <v>22</v>
      </c>
      <c r="K1073" s="2" t="s">
        <v>23</v>
      </c>
      <c r="L1073" s="6" t="s">
        <v>24</v>
      </c>
      <c r="M1073" s="5" t="s">
        <v>25</v>
      </c>
      <c r="N1073" s="3" t="s">
        <v>26</v>
      </c>
      <c r="O1073" s="5">
        <v>3</v>
      </c>
      <c r="P1073" s="3" t="s">
        <v>23</v>
      </c>
      <c r="Q1073" s="5"/>
    </row>
    <row r="1074" spans="1:17" ht="93">
      <c r="A1074" s="5">
        <v>1069</v>
      </c>
      <c r="B1074" s="6" t="s">
        <v>16</v>
      </c>
      <c r="C1074" s="5" t="str">
        <f>HYPERLINK("http://data.overheid.nl/data/dataset/nationaal-wegen-bestand-spoorwegen-hectopunten-01","Nationaal Wegen Bestand Spoorwegen hectopunten")</f>
        <v>Nationaal Wegen Bestand Spoorwegen hectopunten</v>
      </c>
      <c r="D1074" s="6" t="s">
        <v>17</v>
      </c>
      <c r="E1074" s="5" t="s">
        <v>18</v>
      </c>
      <c r="F1074" s="6" t="s">
        <v>813</v>
      </c>
      <c r="G1074" s="5" t="s">
        <v>680</v>
      </c>
      <c r="H1074" s="6" t="s">
        <v>20</v>
      </c>
      <c r="I1074" s="5" t="s">
        <v>21</v>
      </c>
      <c r="J1074" s="4" t="s">
        <v>22</v>
      </c>
      <c r="K1074" s="2" t="s">
        <v>23</v>
      </c>
      <c r="L1074" s="6" t="s">
        <v>24</v>
      </c>
      <c r="M1074" s="5" t="s">
        <v>25</v>
      </c>
      <c r="N1074" s="3" t="s">
        <v>26</v>
      </c>
      <c r="O1074" s="5">
        <v>3</v>
      </c>
      <c r="P1074" s="3" t="s">
        <v>23</v>
      </c>
      <c r="Q1074" s="5"/>
    </row>
    <row r="1075" spans="1:17" ht="31">
      <c r="A1075" s="5">
        <v>1070</v>
      </c>
      <c r="B1075" s="6" t="s">
        <v>16</v>
      </c>
      <c r="C1075" s="5" t="str">
        <f>HYPERLINK("http://data.overheid.nl/data/dataset/markeringen-vast-rd-01","Markeringen_vast RD")</f>
        <v>Markeringen_vast RD</v>
      </c>
      <c r="D1075" s="6" t="s">
        <v>17</v>
      </c>
      <c r="E1075" s="5" t="s">
        <v>18</v>
      </c>
      <c r="F1075" s="6" t="s">
        <v>813</v>
      </c>
      <c r="G1075" s="5" t="s">
        <v>683</v>
      </c>
      <c r="H1075" s="6" t="s">
        <v>20</v>
      </c>
      <c r="I1075" s="5" t="s">
        <v>684</v>
      </c>
      <c r="J1075" s="4" t="s">
        <v>22</v>
      </c>
      <c r="K1075" s="2" t="s">
        <v>23</v>
      </c>
      <c r="L1075" s="6" t="s">
        <v>24</v>
      </c>
      <c r="M1075" s="5" t="s">
        <v>25</v>
      </c>
      <c r="N1075" s="3" t="s">
        <v>26</v>
      </c>
      <c r="O1075" s="5">
        <v>2</v>
      </c>
      <c r="P1075" s="3" t="s">
        <v>23</v>
      </c>
      <c r="Q1075" s="5"/>
    </row>
    <row r="1076" spans="1:17" ht="31">
      <c r="A1076" s="5">
        <v>1071</v>
      </c>
      <c r="B1076" s="6" t="s">
        <v>16</v>
      </c>
      <c r="C1076" s="5" t="str">
        <f>HYPERLINK("http://data.overheid.nl/data/dataset/markeringen-vast","Markeringen_vast")</f>
        <v>Markeringen_vast</v>
      </c>
      <c r="D1076" s="6" t="s">
        <v>17</v>
      </c>
      <c r="E1076" s="5" t="s">
        <v>18</v>
      </c>
      <c r="F1076" s="6" t="s">
        <v>813</v>
      </c>
      <c r="G1076" s="5" t="s">
        <v>683</v>
      </c>
      <c r="H1076" s="6" t="s">
        <v>20</v>
      </c>
      <c r="I1076" s="5" t="s">
        <v>684</v>
      </c>
      <c r="J1076" s="7" t="s">
        <v>38</v>
      </c>
      <c r="K1076" s="2" t="s">
        <v>23</v>
      </c>
      <c r="L1076" s="6" t="s">
        <v>24</v>
      </c>
      <c r="M1076" s="5" t="s">
        <v>25</v>
      </c>
      <c r="N1076" s="3" t="s">
        <v>26</v>
      </c>
      <c r="O1076" s="5">
        <v>4</v>
      </c>
      <c r="P1076" s="3" t="s">
        <v>23</v>
      </c>
      <c r="Q1076" s="5"/>
    </row>
    <row r="1077" spans="1:17" ht="31">
      <c r="A1077" s="5">
        <v>1072</v>
      </c>
      <c r="B1077" s="6" t="s">
        <v>16</v>
      </c>
      <c r="C1077" s="5" t="str">
        <f>HYPERLINK("http://data.overheid.nl/data/dataset/markeringen-drijvend-rd-01","Markeringen_drijvend RD")</f>
        <v>Markeringen_drijvend RD</v>
      </c>
      <c r="D1077" s="6" t="s">
        <v>17</v>
      </c>
      <c r="E1077" s="5" t="s">
        <v>18</v>
      </c>
      <c r="F1077" s="6" t="s">
        <v>813</v>
      </c>
      <c r="G1077" s="5" t="s">
        <v>685</v>
      </c>
      <c r="H1077" s="6" t="s">
        <v>20</v>
      </c>
      <c r="I1077" s="5" t="s">
        <v>684</v>
      </c>
      <c r="J1077" s="4" t="s">
        <v>22</v>
      </c>
      <c r="K1077" s="2" t="s">
        <v>23</v>
      </c>
      <c r="L1077" s="6" t="s">
        <v>24</v>
      </c>
      <c r="M1077" s="5" t="s">
        <v>25</v>
      </c>
      <c r="N1077" s="3" t="s">
        <v>26</v>
      </c>
      <c r="O1077" s="5">
        <v>4</v>
      </c>
      <c r="P1077" s="3" t="s">
        <v>23</v>
      </c>
      <c r="Q1077" s="5"/>
    </row>
    <row r="1078" spans="1:17" ht="31">
      <c r="A1078" s="5">
        <v>1073</v>
      </c>
      <c r="B1078" s="6" t="s">
        <v>16</v>
      </c>
      <c r="C1078" s="5" t="str">
        <f>HYPERLINK("http://data.overheid.nl/data/dataset/markeringen-drijvend","Markeringen_drijvend")</f>
        <v>Markeringen_drijvend</v>
      </c>
      <c r="D1078" s="6" t="s">
        <v>17</v>
      </c>
      <c r="E1078" s="5" t="s">
        <v>18</v>
      </c>
      <c r="F1078" s="6" t="s">
        <v>813</v>
      </c>
      <c r="G1078" s="5" t="s">
        <v>685</v>
      </c>
      <c r="H1078" s="6" t="s">
        <v>20</v>
      </c>
      <c r="I1078" s="5" t="s">
        <v>684</v>
      </c>
      <c r="J1078" s="4" t="s">
        <v>22</v>
      </c>
      <c r="K1078" s="2" t="s">
        <v>23</v>
      </c>
      <c r="L1078" s="6" t="s">
        <v>24</v>
      </c>
      <c r="M1078" s="5" t="s">
        <v>25</v>
      </c>
      <c r="N1078" s="3" t="s">
        <v>26</v>
      </c>
      <c r="O1078" s="5">
        <v>6</v>
      </c>
      <c r="P1078" s="3" t="s">
        <v>23</v>
      </c>
      <c r="Q1078" s="5"/>
    </row>
    <row r="1079" spans="1:17" ht="46.5">
      <c r="A1079" s="5">
        <v>1074</v>
      </c>
      <c r="B1079" s="6" t="s">
        <v>16</v>
      </c>
      <c r="C1079" s="5" t="str">
        <f>HYPERLINK("http://data.overheid.nl/data/dataset/kunstwerken-januari-2016","Kunstwerken januari 2016")</f>
        <v>Kunstwerken januari 2016</v>
      </c>
      <c r="D1079" s="6" t="s">
        <v>17</v>
      </c>
      <c r="E1079" s="5" t="s">
        <v>18</v>
      </c>
      <c r="F1079" s="6" t="s">
        <v>813</v>
      </c>
      <c r="G1079" s="5" t="s">
        <v>200</v>
      </c>
      <c r="H1079" s="6" t="s">
        <v>20</v>
      </c>
      <c r="I1079" s="5" t="s">
        <v>21</v>
      </c>
      <c r="J1079" s="4" t="s">
        <v>22</v>
      </c>
      <c r="K1079" s="2" t="s">
        <v>23</v>
      </c>
      <c r="L1079" s="6" t="s">
        <v>24</v>
      </c>
      <c r="M1079" s="5" t="s">
        <v>25</v>
      </c>
      <c r="N1079" s="3" t="s">
        <v>26</v>
      </c>
      <c r="O1079" s="5">
        <v>8</v>
      </c>
      <c r="P1079" s="3" t="s">
        <v>23</v>
      </c>
      <c r="Q1079" s="5"/>
    </row>
    <row r="1080" spans="1:17" ht="77.5">
      <c r="A1080" s="5">
        <v>1075</v>
      </c>
      <c r="B1080" s="6" t="s">
        <v>16</v>
      </c>
      <c r="C1080" s="5" t="str">
        <f>HYPERLINK("http://data.overheid.nl/data/dataset/verkeersongevallen-bestand-geregistreerde-ongevallen-nederland","Verkeersongevallen - Bestand geRegistreerde Ongevallen Nederland")</f>
        <v>Verkeersongevallen - Bestand geRegistreerde Ongevallen Nederland</v>
      </c>
      <c r="D1080" s="6" t="s">
        <v>17</v>
      </c>
      <c r="E1080" s="5" t="s">
        <v>18</v>
      </c>
      <c r="F1080" s="6" t="s">
        <v>813</v>
      </c>
      <c r="G1080" s="5" t="s">
        <v>686</v>
      </c>
      <c r="H1080" s="6" t="s">
        <v>20</v>
      </c>
      <c r="I1080" s="5" t="s">
        <v>21</v>
      </c>
      <c r="J1080" s="4" t="s">
        <v>22</v>
      </c>
      <c r="K1080" s="2" t="s">
        <v>23</v>
      </c>
      <c r="L1080" s="6" t="s">
        <v>24</v>
      </c>
      <c r="M1080" s="5" t="s">
        <v>25</v>
      </c>
      <c r="N1080" s="3" t="s">
        <v>26</v>
      </c>
      <c r="O1080" s="5">
        <v>1</v>
      </c>
      <c r="P1080" s="3" t="s">
        <v>23</v>
      </c>
      <c r="Q1080" s="5"/>
    </row>
    <row r="1081" spans="1:17" ht="77.5">
      <c r="A1081" s="5">
        <v>1076</v>
      </c>
      <c r="B1081" s="6" t="s">
        <v>16</v>
      </c>
      <c r="C1081" s="5" t="str">
        <f>HYPERLINK("http://data.overheid.nl/data/dataset/rijkswaterstaat-dijkringrapporten","Rijkswaterstaat - Dijkringrapporten")</f>
        <v>Rijkswaterstaat - Dijkringrapporten</v>
      </c>
      <c r="D1081" s="6" t="s">
        <v>17</v>
      </c>
      <c r="E1081" s="5" t="s">
        <v>379</v>
      </c>
      <c r="F1081" s="6" t="s">
        <v>813</v>
      </c>
      <c r="G1081" s="5" t="s">
        <v>687</v>
      </c>
      <c r="H1081" s="6" t="s">
        <v>20</v>
      </c>
      <c r="I1081" s="5" t="s">
        <v>21</v>
      </c>
      <c r="J1081" s="4" t="s">
        <v>22</v>
      </c>
      <c r="K1081" s="2" t="s">
        <v>23</v>
      </c>
      <c r="L1081" s="6" t="s">
        <v>24</v>
      </c>
      <c r="M1081" s="5" t="s">
        <v>25</v>
      </c>
      <c r="N1081" s="3" t="s">
        <v>26</v>
      </c>
      <c r="O1081" s="5">
        <v>1</v>
      </c>
      <c r="P1081" s="3" t="s">
        <v>23</v>
      </c>
      <c r="Q1081" s="5"/>
    </row>
    <row r="1082" spans="1:17" ht="93">
      <c r="A1082" s="5">
        <v>1077</v>
      </c>
      <c r="B1082" s="6" t="s">
        <v>16</v>
      </c>
      <c r="C1082" s="5" t="str">
        <f>HYPERLINK("http://data.overheid.nl/data/dataset/nis-verkeersvoorzieningen-hwn-wim-2015","NIS Verkeersvoorzieningen HWN: WIM 2015")</f>
        <v>NIS Verkeersvoorzieningen HWN: WIM 2015</v>
      </c>
      <c r="D1082" s="6" t="s">
        <v>17</v>
      </c>
      <c r="E1082" s="5" t="s">
        <v>18</v>
      </c>
      <c r="F1082" s="6" t="s">
        <v>813</v>
      </c>
      <c r="G1082" s="5" t="s">
        <v>672</v>
      </c>
      <c r="H1082" s="6" t="s">
        <v>20</v>
      </c>
      <c r="I1082" s="5" t="s">
        <v>21</v>
      </c>
      <c r="J1082" s="4" t="s">
        <v>22</v>
      </c>
      <c r="K1082" s="2" t="s">
        <v>23</v>
      </c>
      <c r="L1082" s="6" t="s">
        <v>24</v>
      </c>
      <c r="M1082" s="5" t="s">
        <v>25</v>
      </c>
      <c r="N1082" s="3" t="s">
        <v>26</v>
      </c>
      <c r="O1082" s="5">
        <v>2</v>
      </c>
      <c r="P1082" s="3" t="s">
        <v>23</v>
      </c>
      <c r="Q1082" s="5"/>
    </row>
    <row r="1083" spans="1:17" ht="93">
      <c r="A1083" s="5">
        <v>1078</v>
      </c>
      <c r="B1083" s="6" t="s">
        <v>16</v>
      </c>
      <c r="C1083" s="5" t="str">
        <f>HYPERLINK("http://data.overheid.nl/data/dataset/nis-verkeersvoorzieningen-hwn-videocamarasytemen-vad-2015","NIS Verkeersvoorzieningen HWN: Videocamarasytemen (VAD) 2015")</f>
        <v>NIS Verkeersvoorzieningen HWN: Videocamarasytemen (VAD) 2015</v>
      </c>
      <c r="D1083" s="6" t="s">
        <v>17</v>
      </c>
      <c r="E1083" s="5" t="s">
        <v>18</v>
      </c>
      <c r="F1083" s="6" t="s">
        <v>813</v>
      </c>
      <c r="G1083" s="5" t="s">
        <v>672</v>
      </c>
      <c r="H1083" s="6" t="s">
        <v>28</v>
      </c>
      <c r="I1083" s="5" t="s">
        <v>21</v>
      </c>
      <c r="J1083" s="4" t="s">
        <v>22</v>
      </c>
      <c r="K1083" s="2" t="s">
        <v>23</v>
      </c>
      <c r="L1083" s="6" t="s">
        <v>24</v>
      </c>
      <c r="M1083" s="5" t="s">
        <v>25</v>
      </c>
      <c r="N1083" s="3" t="s">
        <v>26</v>
      </c>
      <c r="O1083" s="5">
        <v>4</v>
      </c>
      <c r="P1083" s="3" t="s">
        <v>23</v>
      </c>
      <c r="Q1083" s="5"/>
    </row>
    <row r="1084" spans="1:17" ht="93">
      <c r="A1084" s="5">
        <v>1079</v>
      </c>
      <c r="B1084" s="6" t="s">
        <v>16</v>
      </c>
      <c r="C1084" s="5" t="str">
        <f>HYPERLINK("http://data.overheid.nl/data/dataset/nis-verkeersvoorzieningen-hwn-verkeersregeling-2015","NIS Verkeersvoorzieningen HWN: Verkeersregeling 2015")</f>
        <v>NIS Verkeersvoorzieningen HWN: Verkeersregeling 2015</v>
      </c>
      <c r="D1084" s="6" t="s">
        <v>17</v>
      </c>
      <c r="E1084" s="5" t="s">
        <v>18</v>
      </c>
      <c r="F1084" s="6" t="s">
        <v>813</v>
      </c>
      <c r="G1084" s="5" t="s">
        <v>672</v>
      </c>
      <c r="H1084" s="6" t="s">
        <v>20</v>
      </c>
      <c r="I1084" s="5" t="s">
        <v>21</v>
      </c>
      <c r="J1084" s="4" t="s">
        <v>22</v>
      </c>
      <c r="K1084" s="2" t="s">
        <v>23</v>
      </c>
      <c r="L1084" s="6" t="s">
        <v>24</v>
      </c>
      <c r="M1084" s="5" t="s">
        <v>25</v>
      </c>
      <c r="N1084" s="3" t="s">
        <v>26</v>
      </c>
      <c r="O1084" s="5">
        <v>6</v>
      </c>
      <c r="P1084" s="3" t="s">
        <v>23</v>
      </c>
      <c r="Q1084" s="5"/>
    </row>
    <row r="1085" spans="1:17" ht="93">
      <c r="A1085" s="5">
        <v>1080</v>
      </c>
      <c r="B1085" s="6" t="s">
        <v>16</v>
      </c>
      <c r="C1085" s="5" t="str">
        <f>HYPERLINK("http://data.overheid.nl/data/dataset/nis-verkeersvoorzieningen-hwn-verkeersignalering-2015","NIS Verkeersvoorzieningen HWN: Verkeersignalering 2015")</f>
        <v>NIS Verkeersvoorzieningen HWN: Verkeersignalering 2015</v>
      </c>
      <c r="D1085" s="6" t="s">
        <v>17</v>
      </c>
      <c r="E1085" s="5" t="s">
        <v>18</v>
      </c>
      <c r="F1085" s="6" t="s">
        <v>813</v>
      </c>
      <c r="G1085" s="5" t="s">
        <v>672</v>
      </c>
      <c r="H1085" s="6" t="s">
        <v>28</v>
      </c>
      <c r="I1085" s="5" t="s">
        <v>21</v>
      </c>
      <c r="J1085" s="4" t="s">
        <v>22</v>
      </c>
      <c r="K1085" s="2" t="s">
        <v>23</v>
      </c>
      <c r="L1085" s="6" t="s">
        <v>24</v>
      </c>
      <c r="M1085" s="5" t="s">
        <v>25</v>
      </c>
      <c r="N1085" s="3" t="s">
        <v>26</v>
      </c>
      <c r="O1085" s="5">
        <v>4</v>
      </c>
      <c r="P1085" s="3" t="s">
        <v>23</v>
      </c>
      <c r="Q1085" s="5"/>
    </row>
    <row r="1086" spans="1:17" ht="93">
      <c r="A1086" s="5">
        <v>1081</v>
      </c>
      <c r="B1086" s="6" t="s">
        <v>16</v>
      </c>
      <c r="C1086" s="5" t="str">
        <f>HYPERLINK("http://data.overheid.nl/data/dataset/nis-verkeersvoorzieningen-hwn-snelheidsmaatregel-2015","NIS Verkeersvoorzieningen HWN: Snelheidsmaatregel 2015")</f>
        <v>NIS Verkeersvoorzieningen HWN: Snelheidsmaatregel 2015</v>
      </c>
      <c r="D1086" s="6" t="s">
        <v>17</v>
      </c>
      <c r="E1086" s="5" t="s">
        <v>18</v>
      </c>
      <c r="F1086" s="6" t="s">
        <v>813</v>
      </c>
      <c r="G1086" s="5" t="s">
        <v>672</v>
      </c>
      <c r="H1086" s="6" t="s">
        <v>20</v>
      </c>
      <c r="I1086" s="5" t="s">
        <v>21</v>
      </c>
      <c r="J1086" s="4" t="s">
        <v>22</v>
      </c>
      <c r="K1086" s="2" t="s">
        <v>23</v>
      </c>
      <c r="L1086" s="6" t="s">
        <v>24</v>
      </c>
      <c r="M1086" s="5" t="s">
        <v>25</v>
      </c>
      <c r="N1086" s="3" t="s">
        <v>26</v>
      </c>
      <c r="O1086" s="5">
        <v>2</v>
      </c>
      <c r="P1086" s="3" t="s">
        <v>23</v>
      </c>
      <c r="Q1086" s="5"/>
    </row>
    <row r="1087" spans="1:17" ht="93">
      <c r="A1087" s="5">
        <v>1082</v>
      </c>
      <c r="B1087" s="6" t="s">
        <v>16</v>
      </c>
      <c r="C1087" s="5" t="str">
        <f>HYPERLINK("http://data.overheid.nl/data/dataset/nis-verkeersvoorzieningen-hwn-rotatiepaneel-argumentatiebord-2015","NIS Verkeersvoorzieningen HWN: Rotatiepaneel Argumentatiebord 2015")</f>
        <v>NIS Verkeersvoorzieningen HWN: Rotatiepaneel Argumentatiebord 2015</v>
      </c>
      <c r="D1087" s="6" t="s">
        <v>17</v>
      </c>
      <c r="E1087" s="5" t="s">
        <v>18</v>
      </c>
      <c r="F1087" s="6" t="s">
        <v>813</v>
      </c>
      <c r="G1087" s="5" t="s">
        <v>672</v>
      </c>
      <c r="H1087" s="6" t="s">
        <v>28</v>
      </c>
      <c r="I1087" s="5" t="s">
        <v>21</v>
      </c>
      <c r="J1087" s="4" t="s">
        <v>22</v>
      </c>
      <c r="K1087" s="2" t="s">
        <v>23</v>
      </c>
      <c r="L1087" s="6" t="s">
        <v>24</v>
      </c>
      <c r="M1087" s="5" t="s">
        <v>25</v>
      </c>
      <c r="N1087" s="3" t="s">
        <v>26</v>
      </c>
      <c r="O1087" s="5">
        <v>4</v>
      </c>
      <c r="P1087" s="3" t="s">
        <v>23</v>
      </c>
      <c r="Q1087" s="5"/>
    </row>
    <row r="1088" spans="1:17" ht="93">
      <c r="A1088" s="5">
        <v>1083</v>
      </c>
      <c r="B1088" s="6" t="s">
        <v>16</v>
      </c>
      <c r="C1088" s="5" t="str">
        <f>HYPERLINK("http://data.overheid.nl/data/dataset/nis-verkeersvoorzieningen-hwn-pijlkruisinstallatie-2015","NIS Verkeersvoorzieningen HWN: Pijlkruisinstallatie 2015")</f>
        <v>NIS Verkeersvoorzieningen HWN: Pijlkruisinstallatie 2015</v>
      </c>
      <c r="D1088" s="6" t="s">
        <v>17</v>
      </c>
      <c r="E1088" s="5" t="s">
        <v>18</v>
      </c>
      <c r="F1088" s="6" t="s">
        <v>813</v>
      </c>
      <c r="G1088" s="5" t="s">
        <v>672</v>
      </c>
      <c r="H1088" s="6" t="s">
        <v>20</v>
      </c>
      <c r="I1088" s="5" t="s">
        <v>21</v>
      </c>
      <c r="J1088" s="4" t="s">
        <v>22</v>
      </c>
      <c r="K1088" s="2" t="s">
        <v>23</v>
      </c>
      <c r="L1088" s="6" t="s">
        <v>24</v>
      </c>
      <c r="M1088" s="5" t="s">
        <v>25</v>
      </c>
      <c r="N1088" s="3" t="s">
        <v>26</v>
      </c>
      <c r="O1088" s="5">
        <v>6</v>
      </c>
      <c r="P1088" s="3" t="s">
        <v>23</v>
      </c>
      <c r="Q1088" s="5"/>
    </row>
    <row r="1089" spans="1:17" ht="93">
      <c r="A1089" s="5">
        <v>1084</v>
      </c>
      <c r="B1089" s="6" t="s">
        <v>16</v>
      </c>
      <c r="C1089" s="5" t="str">
        <f>HYPERLINK("http://data.overheid.nl/data/dataset/nis-verkeersvoorzieningen-hwn-monitoringobjecten-2015-versie-2","NIS Verkeersvoorzieningen HWN: Monitoringobjecten 2015 versie 2")</f>
        <v>NIS Verkeersvoorzieningen HWN: Monitoringobjecten 2015 versie 2</v>
      </c>
      <c r="D1089" s="6" t="s">
        <v>17</v>
      </c>
      <c r="E1089" s="5" t="s">
        <v>18</v>
      </c>
      <c r="F1089" s="6" t="s">
        <v>813</v>
      </c>
      <c r="G1089" s="5" t="s">
        <v>672</v>
      </c>
      <c r="H1089" s="6" t="s">
        <v>28</v>
      </c>
      <c r="I1089" s="5" t="s">
        <v>21</v>
      </c>
      <c r="J1089" s="4" t="s">
        <v>22</v>
      </c>
      <c r="K1089" s="2" t="s">
        <v>23</v>
      </c>
      <c r="L1089" s="6" t="s">
        <v>24</v>
      </c>
      <c r="M1089" s="5" t="s">
        <v>25</v>
      </c>
      <c r="N1089" s="3" t="s">
        <v>26</v>
      </c>
      <c r="O1089" s="5">
        <v>16</v>
      </c>
      <c r="P1089" s="3" t="s">
        <v>23</v>
      </c>
      <c r="Q1089" s="5"/>
    </row>
    <row r="1090" spans="1:17" ht="93">
      <c r="A1090" s="5">
        <v>1085</v>
      </c>
      <c r="B1090" s="6" t="s">
        <v>16</v>
      </c>
      <c r="C1090" s="5" t="str">
        <f>HYPERLINK("http://data.overheid.nl/data/dataset/nis-verkeersvoorzieningen-hwn-monitoringobjecten-2015","NIS Verkeersvoorzieningen HWN: Monitoringobjecten 2015")</f>
        <v>NIS Verkeersvoorzieningen HWN: Monitoringobjecten 2015</v>
      </c>
      <c r="D1090" s="6" t="s">
        <v>17</v>
      </c>
      <c r="E1090" s="5" t="s">
        <v>18</v>
      </c>
      <c r="F1090" s="6" t="s">
        <v>813</v>
      </c>
      <c r="G1090" s="5" t="s">
        <v>672</v>
      </c>
      <c r="H1090" s="6" t="s">
        <v>20</v>
      </c>
      <c r="I1090" s="5" t="s">
        <v>21</v>
      </c>
      <c r="J1090" s="4" t="s">
        <v>22</v>
      </c>
      <c r="K1090" s="2" t="s">
        <v>23</v>
      </c>
      <c r="L1090" s="6" t="s">
        <v>24</v>
      </c>
      <c r="M1090" s="5" t="s">
        <v>25</v>
      </c>
      <c r="N1090" s="3" t="s">
        <v>26</v>
      </c>
      <c r="O1090" s="5">
        <v>2</v>
      </c>
      <c r="P1090" s="3" t="s">
        <v>23</v>
      </c>
      <c r="Q1090" s="5"/>
    </row>
    <row r="1091" spans="1:17" ht="93">
      <c r="A1091" s="5">
        <v>1086</v>
      </c>
      <c r="B1091" s="6" t="s">
        <v>16</v>
      </c>
      <c r="C1091" s="5" t="str">
        <f>HYPERLINK("http://data.overheid.nl/data/dataset/nis-verkeersvoorzieningen-hwn-monitoring-2015","NIS Verkeersvoorzieningen HWN: Monitoring 2015")</f>
        <v>NIS Verkeersvoorzieningen HWN: Monitoring 2015</v>
      </c>
      <c r="D1091" s="6" t="s">
        <v>17</v>
      </c>
      <c r="E1091" s="5" t="s">
        <v>18</v>
      </c>
      <c r="F1091" s="6" t="s">
        <v>813</v>
      </c>
      <c r="G1091" s="5" t="s">
        <v>672</v>
      </c>
      <c r="H1091" s="6" t="s">
        <v>20</v>
      </c>
      <c r="I1091" s="5" t="s">
        <v>21</v>
      </c>
      <c r="J1091" s="4" t="s">
        <v>22</v>
      </c>
      <c r="K1091" s="2" t="s">
        <v>23</v>
      </c>
      <c r="L1091" s="6" t="s">
        <v>24</v>
      </c>
      <c r="M1091" s="5" t="s">
        <v>25</v>
      </c>
      <c r="N1091" s="3" t="s">
        <v>26</v>
      </c>
      <c r="O1091" s="5">
        <v>2</v>
      </c>
      <c r="P1091" s="3" t="s">
        <v>23</v>
      </c>
      <c r="Q1091" s="5"/>
    </row>
    <row r="1092" spans="1:17" ht="93">
      <c r="A1092" s="5">
        <v>1087</v>
      </c>
      <c r="B1092" s="6" t="s">
        <v>16</v>
      </c>
      <c r="C1092" s="5" t="str">
        <f>HYPERLINK("http://data.overheid.nl/data/dataset/nis-verkeersvoorzieningen-hwn-inhaalverboden-vrachtverkeer-2015","NIS Verkeersvoorzieningen HWN: Inhaalverboden vrachtverkeer 2015")</f>
        <v>NIS Verkeersvoorzieningen HWN: Inhaalverboden vrachtverkeer 2015</v>
      </c>
      <c r="D1092" s="6" t="s">
        <v>17</v>
      </c>
      <c r="E1092" s="5" t="s">
        <v>18</v>
      </c>
      <c r="F1092" s="6" t="s">
        <v>813</v>
      </c>
      <c r="G1092" s="5" t="s">
        <v>672</v>
      </c>
      <c r="H1092" s="6" t="s">
        <v>28</v>
      </c>
      <c r="I1092" s="5" t="s">
        <v>21</v>
      </c>
      <c r="J1092" s="4" t="s">
        <v>22</v>
      </c>
      <c r="K1092" s="2" t="s">
        <v>23</v>
      </c>
      <c r="L1092" s="6" t="s">
        <v>24</v>
      </c>
      <c r="M1092" s="5" t="s">
        <v>25</v>
      </c>
      <c r="N1092" s="3" t="s">
        <v>26</v>
      </c>
      <c r="O1092" s="5">
        <v>2</v>
      </c>
      <c r="P1092" s="3" t="s">
        <v>23</v>
      </c>
      <c r="Q1092" s="5"/>
    </row>
    <row r="1093" spans="1:17" ht="93">
      <c r="A1093" s="5">
        <v>1088</v>
      </c>
      <c r="B1093" s="6" t="s">
        <v>16</v>
      </c>
      <c r="C1093" s="5" t="str">
        <f>HYPERLINK("http://data.overheid.nl/data/dataset/nis-verkeersvoorzieningen-hwn-gms-systemen-2015","NIS Verkeersvoorzieningen HWN: GMS Systemen 2015")</f>
        <v>NIS Verkeersvoorzieningen HWN: GMS Systemen 2015</v>
      </c>
      <c r="D1093" s="6" t="s">
        <v>17</v>
      </c>
      <c r="E1093" s="5" t="s">
        <v>18</v>
      </c>
      <c r="F1093" s="6" t="s">
        <v>813</v>
      </c>
      <c r="G1093" s="5" t="s">
        <v>672</v>
      </c>
      <c r="H1093" s="6" t="s">
        <v>20</v>
      </c>
      <c r="I1093" s="5" t="s">
        <v>21</v>
      </c>
      <c r="J1093" s="4" t="s">
        <v>22</v>
      </c>
      <c r="K1093" s="2" t="s">
        <v>23</v>
      </c>
      <c r="L1093" s="6" t="s">
        <v>24</v>
      </c>
      <c r="M1093" s="5" t="s">
        <v>25</v>
      </c>
      <c r="N1093" s="3" t="s">
        <v>26</v>
      </c>
      <c r="O1093" s="5">
        <v>6</v>
      </c>
      <c r="P1093" s="3" t="s">
        <v>23</v>
      </c>
      <c r="Q1093" s="5"/>
    </row>
    <row r="1094" spans="1:17" ht="93">
      <c r="A1094" s="5">
        <v>1089</v>
      </c>
      <c r="B1094" s="6" t="s">
        <v>16</v>
      </c>
      <c r="C1094" s="5" t="str">
        <f>HYPERLINK("http://data.overheid.nl/data/dataset/nis-verkeersvoorzieningen-hwn-functionele-stroken-2015","NIS Verkeersvoorzieningen HWN: Functionele stroken 2015")</f>
        <v>NIS Verkeersvoorzieningen HWN: Functionele stroken 2015</v>
      </c>
      <c r="D1094" s="6" t="s">
        <v>17</v>
      </c>
      <c r="E1094" s="5" t="s">
        <v>18</v>
      </c>
      <c r="F1094" s="6" t="s">
        <v>813</v>
      </c>
      <c r="G1094" s="5" t="s">
        <v>672</v>
      </c>
      <c r="H1094" s="6" t="s">
        <v>28</v>
      </c>
      <c r="I1094" s="5" t="s">
        <v>21</v>
      </c>
      <c r="J1094" s="4" t="s">
        <v>22</v>
      </c>
      <c r="K1094" s="2" t="s">
        <v>23</v>
      </c>
      <c r="L1094" s="6" t="s">
        <v>24</v>
      </c>
      <c r="M1094" s="5" t="s">
        <v>25</v>
      </c>
      <c r="N1094" s="3" t="s">
        <v>26</v>
      </c>
      <c r="O1094" s="5">
        <v>2</v>
      </c>
      <c r="P1094" s="3" t="s">
        <v>23</v>
      </c>
      <c r="Q1094" s="5"/>
    </row>
    <row r="1095" spans="1:17" ht="93">
      <c r="A1095" s="5">
        <v>1090</v>
      </c>
      <c r="B1095" s="6" t="s">
        <v>16</v>
      </c>
      <c r="C1095" s="5" t="str">
        <f>HYPERLINK("http://data.overheid.nl/data/dataset/nis-verkeersvoorzieningen-hwn-dynamische-trajectgegevens-2015","NIS Verkeersvoorzieningen HWN: Dynamische trajectgegevens 2015")</f>
        <v>NIS Verkeersvoorzieningen HWN: Dynamische trajectgegevens 2015</v>
      </c>
      <c r="D1095" s="6" t="s">
        <v>17</v>
      </c>
      <c r="E1095" s="5" t="s">
        <v>18</v>
      </c>
      <c r="F1095" s="6" t="s">
        <v>813</v>
      </c>
      <c r="G1095" s="5" t="s">
        <v>672</v>
      </c>
      <c r="H1095" s="6" t="s">
        <v>20</v>
      </c>
      <c r="I1095" s="5" t="s">
        <v>21</v>
      </c>
      <c r="J1095" s="4" t="s">
        <v>22</v>
      </c>
      <c r="K1095" s="2" t="s">
        <v>23</v>
      </c>
      <c r="L1095" s="6" t="s">
        <v>24</v>
      </c>
      <c r="M1095" s="5" t="s">
        <v>25</v>
      </c>
      <c r="N1095" s="3" t="s">
        <v>26</v>
      </c>
      <c r="O1095" s="5">
        <v>2</v>
      </c>
      <c r="P1095" s="3" t="s">
        <v>23</v>
      </c>
      <c r="Q1095" s="5"/>
    </row>
    <row r="1096" spans="1:17" ht="93">
      <c r="A1096" s="5">
        <v>1091</v>
      </c>
      <c r="B1096" s="6" t="s">
        <v>16</v>
      </c>
      <c r="C1096" s="5" t="str">
        <f>HYPERLINK("http://data.overheid.nl/data/dataset/nis-verkeersvoorzieningen-hwn-drip-2015","NIS Verkeersvoorzieningen HWN: DRIP 2015")</f>
        <v>NIS Verkeersvoorzieningen HWN: DRIP 2015</v>
      </c>
      <c r="D1096" s="6" t="s">
        <v>17</v>
      </c>
      <c r="E1096" s="5" t="s">
        <v>18</v>
      </c>
      <c r="F1096" s="6" t="s">
        <v>813</v>
      </c>
      <c r="G1096" s="5" t="s">
        <v>672</v>
      </c>
      <c r="H1096" s="6" t="s">
        <v>28</v>
      </c>
      <c r="I1096" s="5" t="s">
        <v>21</v>
      </c>
      <c r="J1096" s="4" t="s">
        <v>22</v>
      </c>
      <c r="K1096" s="2" t="s">
        <v>23</v>
      </c>
      <c r="L1096" s="6" t="s">
        <v>24</v>
      </c>
      <c r="M1096" s="5" t="s">
        <v>25</v>
      </c>
      <c r="N1096" s="3" t="s">
        <v>26</v>
      </c>
      <c r="O1096" s="5">
        <v>6</v>
      </c>
      <c r="P1096" s="3" t="s">
        <v>23</v>
      </c>
      <c r="Q1096" s="5"/>
    </row>
    <row r="1097" spans="1:17" ht="93">
      <c r="A1097" s="5">
        <v>1092</v>
      </c>
      <c r="B1097" s="6" t="s">
        <v>16</v>
      </c>
      <c r="C1097" s="5" t="str">
        <f>HYPERLINK("http://data.overheid.nl/data/dataset/nis-verkeersvoorzieningen-hwn-doelgroepstroken-2015","NIS Verkeersvoorzieningen HWN: Doelgroepstroken 2015")</f>
        <v>NIS Verkeersvoorzieningen HWN: Doelgroepstroken 2015</v>
      </c>
      <c r="D1097" s="6" t="s">
        <v>17</v>
      </c>
      <c r="E1097" s="5" t="s">
        <v>18</v>
      </c>
      <c r="F1097" s="6" t="s">
        <v>813</v>
      </c>
      <c r="G1097" s="5" t="s">
        <v>672</v>
      </c>
      <c r="H1097" s="6" t="s">
        <v>20</v>
      </c>
      <c r="I1097" s="5" t="s">
        <v>21</v>
      </c>
      <c r="J1097" s="4" t="s">
        <v>22</v>
      </c>
      <c r="K1097" s="2" t="s">
        <v>23</v>
      </c>
      <c r="L1097" s="6" t="s">
        <v>24</v>
      </c>
      <c r="M1097" s="5" t="s">
        <v>25</v>
      </c>
      <c r="N1097" s="3" t="s">
        <v>26</v>
      </c>
      <c r="O1097" s="5">
        <v>4</v>
      </c>
      <c r="P1097" s="3" t="s">
        <v>23</v>
      </c>
      <c r="Q1097" s="5"/>
    </row>
    <row r="1098" spans="1:17" ht="46.5">
      <c r="A1098" s="5">
        <v>1093</v>
      </c>
      <c r="B1098" s="6" t="s">
        <v>16</v>
      </c>
      <c r="C1098" s="5" t="str">
        <f>HYPERLINK("http://data.overheid.nl/data/dataset/kunstwerken-januari-2015","Kunstwerken januari 2015")</f>
        <v>Kunstwerken januari 2015</v>
      </c>
      <c r="D1098" s="6" t="s">
        <v>17</v>
      </c>
      <c r="E1098" s="5" t="s">
        <v>18</v>
      </c>
      <c r="F1098" s="6" t="s">
        <v>813</v>
      </c>
      <c r="G1098" s="5" t="s">
        <v>200</v>
      </c>
      <c r="H1098" s="6" t="s">
        <v>28</v>
      </c>
      <c r="I1098" s="5" t="s">
        <v>21</v>
      </c>
      <c r="J1098" s="4" t="s">
        <v>22</v>
      </c>
      <c r="K1098" s="2" t="s">
        <v>23</v>
      </c>
      <c r="L1098" s="6" t="s">
        <v>24</v>
      </c>
      <c r="M1098" s="5" t="s">
        <v>25</v>
      </c>
      <c r="N1098" s="3" t="s">
        <v>26</v>
      </c>
      <c r="O1098" s="5">
        <v>8</v>
      </c>
      <c r="P1098" s="3" t="s">
        <v>23</v>
      </c>
      <c r="Q1098" s="5"/>
    </row>
    <row r="1099" spans="1:17" ht="31">
      <c r="A1099" s="5">
        <v>1094</v>
      </c>
      <c r="B1099" s="6" t="s">
        <v>16</v>
      </c>
      <c r="C1099" s="5" t="str">
        <f>HYPERLINK("http://data.overheid.nl/data/dataset/vaarwegkenmerken-nederland-vts-deelsector","Vaarwegkenmerken Nederland VTS deelsector")</f>
        <v>Vaarwegkenmerken Nederland VTS deelsector</v>
      </c>
      <c r="D1099" s="6" t="s">
        <v>17</v>
      </c>
      <c r="E1099" s="5" t="s">
        <v>18</v>
      </c>
      <c r="F1099" s="6" t="s">
        <v>813</v>
      </c>
      <c r="G1099" s="5" t="s">
        <v>688</v>
      </c>
      <c r="H1099" s="6" t="s">
        <v>20</v>
      </c>
      <c r="I1099" s="5" t="s">
        <v>21</v>
      </c>
      <c r="J1099" s="4" t="s">
        <v>22</v>
      </c>
      <c r="K1099" s="2" t="s">
        <v>23</v>
      </c>
      <c r="L1099" s="6" t="s">
        <v>24</v>
      </c>
      <c r="M1099" s="5" t="s">
        <v>25</v>
      </c>
      <c r="N1099" s="3" t="s">
        <v>26</v>
      </c>
      <c r="O1099" s="5">
        <v>2</v>
      </c>
      <c r="P1099" s="3" t="s">
        <v>23</v>
      </c>
      <c r="Q1099" s="5"/>
    </row>
    <row r="1100" spans="1:17" ht="31">
      <c r="A1100" s="5">
        <v>1095</v>
      </c>
      <c r="B1100" s="6" t="s">
        <v>16</v>
      </c>
      <c r="C1100" s="5" t="str">
        <f>HYPERLINK("http://data.overheid.nl/data/dataset/vaarwegkenmerken-in-nederland-zwaaiplaats","Vaarwegkenmerken in Nederland zwaaiplaats")</f>
        <v>Vaarwegkenmerken in Nederland zwaaiplaats</v>
      </c>
      <c r="D1100" s="6" t="s">
        <v>17</v>
      </c>
      <c r="E1100" s="5" t="s">
        <v>18</v>
      </c>
      <c r="F1100" s="6" t="s">
        <v>813</v>
      </c>
      <c r="G1100" s="5" t="s">
        <v>659</v>
      </c>
      <c r="H1100" s="6" t="s">
        <v>20</v>
      </c>
      <c r="I1100" s="5" t="s">
        <v>21</v>
      </c>
      <c r="J1100" s="4" t="s">
        <v>22</v>
      </c>
      <c r="K1100" s="2" t="s">
        <v>23</v>
      </c>
      <c r="L1100" s="6" t="s">
        <v>24</v>
      </c>
      <c r="M1100" s="5" t="s">
        <v>25</v>
      </c>
      <c r="N1100" s="3" t="s">
        <v>26</v>
      </c>
      <c r="O1100" s="5">
        <v>1</v>
      </c>
      <c r="P1100" s="3" t="s">
        <v>23</v>
      </c>
      <c r="Q1100" s="5"/>
    </row>
    <row r="1101" spans="1:17" ht="31">
      <c r="A1101" s="5">
        <v>1096</v>
      </c>
      <c r="B1101" s="6" t="s">
        <v>16</v>
      </c>
      <c r="C1101" s="5" t="str">
        <f>HYPERLINK("http://data.overheid.nl/data/dataset/vaarwegkenmerken-in-nederland-waterstand-tov-nap","Vaarwegkenmerken in Nederland waterstand tov NAP")</f>
        <v>Vaarwegkenmerken in Nederland waterstand tov NAP</v>
      </c>
      <c r="D1101" s="6" t="s">
        <v>17</v>
      </c>
      <c r="E1101" s="5" t="s">
        <v>18</v>
      </c>
      <c r="F1101" s="6" t="s">
        <v>813</v>
      </c>
      <c r="G1101" s="5" t="s">
        <v>661</v>
      </c>
      <c r="H1101" s="6" t="s">
        <v>20</v>
      </c>
      <c r="I1101" s="5" t="s">
        <v>21</v>
      </c>
      <c r="J1101" s="4" t="s">
        <v>22</v>
      </c>
      <c r="K1101" s="2" t="s">
        <v>23</v>
      </c>
      <c r="L1101" s="6" t="s">
        <v>24</v>
      </c>
      <c r="M1101" s="5" t="s">
        <v>25</v>
      </c>
      <c r="N1101" s="3" t="s">
        <v>26</v>
      </c>
      <c r="O1101" s="5">
        <v>2</v>
      </c>
      <c r="P1101" s="3" t="s">
        <v>23</v>
      </c>
      <c r="Q1101" s="5"/>
    </row>
    <row r="1102" spans="1:17" ht="31">
      <c r="A1102" s="5">
        <v>1097</v>
      </c>
      <c r="B1102" s="6" t="s">
        <v>16</v>
      </c>
      <c r="C1102" s="5" t="str">
        <f>HYPERLINK("http://data.overheid.nl/data/dataset/vaarwegkenmerken-in-nederland-waterstand-streefpeil","Vaarwegkenmerken in Nederland waterstand streefpeil")</f>
        <v>Vaarwegkenmerken in Nederland waterstand streefpeil</v>
      </c>
      <c r="D1102" s="6" t="s">
        <v>17</v>
      </c>
      <c r="E1102" s="5" t="s">
        <v>18</v>
      </c>
      <c r="F1102" s="6" t="s">
        <v>813</v>
      </c>
      <c r="G1102" s="5" t="s">
        <v>689</v>
      </c>
      <c r="H1102" s="6" t="s">
        <v>20</v>
      </c>
      <c r="I1102" s="5" t="s">
        <v>21</v>
      </c>
      <c r="J1102" s="4" t="s">
        <v>22</v>
      </c>
      <c r="K1102" s="2" t="s">
        <v>23</v>
      </c>
      <c r="L1102" s="6" t="s">
        <v>24</v>
      </c>
      <c r="M1102" s="5" t="s">
        <v>25</v>
      </c>
      <c r="N1102" s="3" t="s">
        <v>26</v>
      </c>
      <c r="O1102" s="5">
        <v>2</v>
      </c>
      <c r="P1102" s="3" t="s">
        <v>23</v>
      </c>
      <c r="Q1102" s="5"/>
    </row>
    <row r="1103" spans="1:17" ht="31">
      <c r="A1103" s="5">
        <v>1098</v>
      </c>
      <c r="B1103" s="6" t="s">
        <v>16</v>
      </c>
      <c r="C1103" s="5" t="str">
        <f>HYPERLINK("http://data.overheid.nl/data/dataset/vaarwegkenmerken-in-nederland-vaarweg-karakter","Vaarwegkenmerken in Nederland vaarweg karakter")</f>
        <v>Vaarwegkenmerken in Nederland vaarweg karakter</v>
      </c>
      <c r="D1103" s="6" t="s">
        <v>17</v>
      </c>
      <c r="E1103" s="5" t="s">
        <v>18</v>
      </c>
      <c r="F1103" s="6" t="s">
        <v>813</v>
      </c>
      <c r="G1103" s="5" t="s">
        <v>646</v>
      </c>
      <c r="H1103" s="6" t="s">
        <v>20</v>
      </c>
      <c r="I1103" s="5" t="s">
        <v>21</v>
      </c>
      <c r="J1103" s="4" t="s">
        <v>22</v>
      </c>
      <c r="K1103" s="2" t="s">
        <v>23</v>
      </c>
      <c r="L1103" s="6" t="s">
        <v>24</v>
      </c>
      <c r="M1103" s="5" t="s">
        <v>25</v>
      </c>
      <c r="N1103" s="3" t="s">
        <v>26</v>
      </c>
      <c r="O1103" s="5">
        <v>2</v>
      </c>
      <c r="P1103" s="3" t="s">
        <v>23</v>
      </c>
      <c r="Q1103" s="5"/>
    </row>
    <row r="1104" spans="1:17" ht="31">
      <c r="A1104" s="5">
        <v>1099</v>
      </c>
      <c r="B1104" s="6" t="s">
        <v>16</v>
      </c>
      <c r="C1104" s="5" t="str">
        <f>HYPERLINK("http://data.overheid.nl/data/dataset/vaarwegkenmerken-in-nederland-type-vaarweg","Vaarwegkenmerken in Nederland type vaarweg")</f>
        <v>Vaarwegkenmerken in Nederland type vaarweg</v>
      </c>
      <c r="D1104" s="6" t="s">
        <v>17</v>
      </c>
      <c r="E1104" s="5" t="s">
        <v>18</v>
      </c>
      <c r="F1104" s="6" t="s">
        <v>813</v>
      </c>
      <c r="G1104" s="5" t="s">
        <v>648</v>
      </c>
      <c r="H1104" s="6" t="s">
        <v>20</v>
      </c>
      <c r="I1104" s="5" t="s">
        <v>21</v>
      </c>
      <c r="J1104" s="4" t="s">
        <v>22</v>
      </c>
      <c r="K1104" s="2" t="s">
        <v>23</v>
      </c>
      <c r="L1104" s="6" t="s">
        <v>24</v>
      </c>
      <c r="M1104" s="5" t="s">
        <v>25</v>
      </c>
      <c r="N1104" s="3" t="s">
        <v>26</v>
      </c>
      <c r="O1104" s="5">
        <v>2</v>
      </c>
      <c r="P1104" s="3" t="s">
        <v>23</v>
      </c>
      <c r="Q1104" s="5"/>
    </row>
    <row r="1105" spans="1:17" ht="31">
      <c r="A1105" s="5">
        <v>1100</v>
      </c>
      <c r="B1105" s="6" t="s">
        <v>16</v>
      </c>
      <c r="C1105" s="5" t="str">
        <f>HYPERLINK("http://data.overheid.nl/data/dataset/vaarwegkenmerken-in-nederland-trajectbeheer","Vaarwegkenmerken in Nederland trajectbeheer")</f>
        <v>Vaarwegkenmerken in Nederland trajectbeheer</v>
      </c>
      <c r="D1105" s="6" t="s">
        <v>17</v>
      </c>
      <c r="E1105" s="5" t="s">
        <v>18</v>
      </c>
      <c r="F1105" s="6" t="s">
        <v>813</v>
      </c>
      <c r="G1105" s="5" t="s">
        <v>647</v>
      </c>
      <c r="H1105" s="6" t="s">
        <v>20</v>
      </c>
      <c r="I1105" s="5" t="s">
        <v>21</v>
      </c>
      <c r="J1105" s="4" t="s">
        <v>22</v>
      </c>
      <c r="K1105" s="2" t="s">
        <v>23</v>
      </c>
      <c r="L1105" s="6" t="s">
        <v>24</v>
      </c>
      <c r="M1105" s="5" t="s">
        <v>25</v>
      </c>
      <c r="N1105" s="3" t="s">
        <v>26</v>
      </c>
      <c r="O1105" s="5">
        <v>2</v>
      </c>
      <c r="P1105" s="3" t="s">
        <v>23</v>
      </c>
      <c r="Q1105" s="5"/>
    </row>
    <row r="1106" spans="1:17" ht="46.5">
      <c r="A1106" s="5">
        <v>1101</v>
      </c>
      <c r="B1106" s="6" t="s">
        <v>16</v>
      </c>
      <c r="C1106" s="5" t="str">
        <f>HYPERLINK("http://data.overheid.nl/data/dataset/vaarwegkenmerken-in-nederland-streefpeil-stv","Vaarwegkenmerken in Nederland streefpeil stv")</f>
        <v>Vaarwegkenmerken in Nederland streefpeil stv</v>
      </c>
      <c r="D1106" s="6" t="s">
        <v>17</v>
      </c>
      <c r="E1106" s="5" t="s">
        <v>18</v>
      </c>
      <c r="F1106" s="6" t="s">
        <v>813</v>
      </c>
      <c r="G1106" s="5" t="s">
        <v>690</v>
      </c>
      <c r="H1106" s="6" t="s">
        <v>20</v>
      </c>
      <c r="I1106" s="5" t="s">
        <v>21</v>
      </c>
      <c r="J1106" s="4" t="s">
        <v>22</v>
      </c>
      <c r="K1106" s="2" t="s">
        <v>23</v>
      </c>
      <c r="L1106" s="6" t="s">
        <v>24</v>
      </c>
      <c r="M1106" s="5" t="s">
        <v>25</v>
      </c>
      <c r="N1106" s="3" t="s">
        <v>26</v>
      </c>
      <c r="O1106" s="5">
        <v>3</v>
      </c>
      <c r="P1106" s="3" t="s">
        <v>23</v>
      </c>
      <c r="Q1106" s="5"/>
    </row>
    <row r="1107" spans="1:17" ht="46.5">
      <c r="A1107" s="5">
        <v>1102</v>
      </c>
      <c r="B1107" s="6" t="s">
        <v>16</v>
      </c>
      <c r="C1107" s="5" t="str">
        <f>HYPERLINK("http://data.overheid.nl/data/dataset/vaarwegkenmerken-in-nederland-streefpeil","Vaarwegkenmerken in Nederland streefpeil")</f>
        <v>Vaarwegkenmerken in Nederland streefpeil</v>
      </c>
      <c r="D1107" s="6" t="s">
        <v>17</v>
      </c>
      <c r="E1107" s="5" t="s">
        <v>18</v>
      </c>
      <c r="F1107" s="6" t="s">
        <v>813</v>
      </c>
      <c r="G1107" s="5" t="s">
        <v>690</v>
      </c>
      <c r="H1107" s="6" t="s">
        <v>20</v>
      </c>
      <c r="I1107" s="5" t="s">
        <v>21</v>
      </c>
      <c r="J1107" s="4" t="s">
        <v>22</v>
      </c>
      <c r="K1107" s="2" t="s">
        <v>23</v>
      </c>
      <c r="L1107" s="6" t="s">
        <v>24</v>
      </c>
      <c r="M1107" s="5" t="s">
        <v>25</v>
      </c>
      <c r="N1107" s="3" t="s">
        <v>26</v>
      </c>
      <c r="O1107" s="5">
        <v>2</v>
      </c>
      <c r="P1107" s="3" t="s">
        <v>23</v>
      </c>
      <c r="Q1107" s="5"/>
    </row>
    <row r="1108" spans="1:17" ht="46.5">
      <c r="A1108" s="5">
        <v>1103</v>
      </c>
      <c r="B1108" s="6" t="s">
        <v>16</v>
      </c>
      <c r="C1108" s="5" t="str">
        <f>HYPERLINK("http://data.overheid.nl/data/dataset/vaarwegkenmerken-in-nederland-sab-inzamelpunt","Vaarwegkenmerken in Nederland SAB Inzamelpunt")</f>
        <v>Vaarwegkenmerken in Nederland SAB Inzamelpunt</v>
      </c>
      <c r="D1108" s="6" t="s">
        <v>17</v>
      </c>
      <c r="E1108" s="5" t="s">
        <v>18</v>
      </c>
      <c r="F1108" s="6" t="s">
        <v>813</v>
      </c>
      <c r="G1108" s="5" t="s">
        <v>691</v>
      </c>
      <c r="H1108" s="6" t="s">
        <v>20</v>
      </c>
      <c r="I1108" s="5" t="s">
        <v>21</v>
      </c>
      <c r="J1108" s="4" t="s">
        <v>22</v>
      </c>
      <c r="K1108" s="2" t="s">
        <v>23</v>
      </c>
      <c r="L1108" s="6" t="s">
        <v>24</v>
      </c>
      <c r="M1108" s="5" t="s">
        <v>25</v>
      </c>
      <c r="N1108" s="3" t="s">
        <v>26</v>
      </c>
      <c r="O1108" s="5">
        <v>2</v>
      </c>
      <c r="P1108" s="3" t="s">
        <v>23</v>
      </c>
      <c r="Q1108" s="5"/>
    </row>
    <row r="1109" spans="1:17" ht="46.5">
      <c r="A1109" s="5">
        <v>1104</v>
      </c>
      <c r="B1109" s="6" t="s">
        <v>16</v>
      </c>
      <c r="C1109" s="5" t="str">
        <f>HYPERLINK("http://data.overheid.nl/data/dataset/vaarwegkenmerken-in-nederland-recreatievaartklasse","Vaarwegkenmerken in Nederland recreatievaartklasse")</f>
        <v>Vaarwegkenmerken in Nederland recreatievaartklasse</v>
      </c>
      <c r="D1109" s="6" t="s">
        <v>17</v>
      </c>
      <c r="E1109" s="5" t="s">
        <v>18</v>
      </c>
      <c r="F1109" s="6" t="s">
        <v>813</v>
      </c>
      <c r="G1109" s="5" t="s">
        <v>651</v>
      </c>
      <c r="H1109" s="6" t="s">
        <v>20</v>
      </c>
      <c r="I1109" s="5" t="s">
        <v>21</v>
      </c>
      <c r="J1109" s="4" t="s">
        <v>22</v>
      </c>
      <c r="K1109" s="2" t="s">
        <v>23</v>
      </c>
      <c r="L1109" s="6" t="s">
        <v>24</v>
      </c>
      <c r="M1109" s="5" t="s">
        <v>25</v>
      </c>
      <c r="N1109" s="3" t="s">
        <v>26</v>
      </c>
      <c r="O1109" s="5">
        <v>2</v>
      </c>
      <c r="P1109" s="3" t="s">
        <v>23</v>
      </c>
      <c r="Q1109" s="5"/>
    </row>
    <row r="1110" spans="1:17" ht="31">
      <c r="A1110" s="5">
        <v>1105</v>
      </c>
      <c r="B1110" s="6" t="s">
        <v>16</v>
      </c>
      <c r="C1110" s="5" t="str">
        <f>HYPERLINK("http://data.overheid.nl/data/dataset/vaarwegkenmerken-in-nederland-overige-kunstwerken","Vaarwegkenmerken in Nederland overige kunstwerken")</f>
        <v>Vaarwegkenmerken in Nederland overige kunstwerken</v>
      </c>
      <c r="D1110" s="6" t="s">
        <v>17</v>
      </c>
      <c r="E1110" s="5" t="s">
        <v>18</v>
      </c>
      <c r="F1110" s="6" t="s">
        <v>813</v>
      </c>
      <c r="G1110" s="5" t="s">
        <v>663</v>
      </c>
      <c r="H1110" s="6" t="s">
        <v>20</v>
      </c>
      <c r="I1110" s="5" t="s">
        <v>21</v>
      </c>
      <c r="J1110" s="4" t="s">
        <v>22</v>
      </c>
      <c r="K1110" s="2" t="s">
        <v>23</v>
      </c>
      <c r="L1110" s="6" t="s">
        <v>24</v>
      </c>
      <c r="M1110" s="5" t="s">
        <v>25</v>
      </c>
      <c r="N1110" s="3" t="s">
        <v>26</v>
      </c>
      <c r="O1110" s="5">
        <v>2</v>
      </c>
      <c r="P1110" s="3" t="s">
        <v>23</v>
      </c>
      <c r="Q1110" s="5"/>
    </row>
    <row r="1111" spans="1:17" ht="31">
      <c r="A1111" s="5">
        <v>1106</v>
      </c>
      <c r="B1111" s="6" t="s">
        <v>16</v>
      </c>
      <c r="C1111" s="5" t="str">
        <f>HYPERLINK("http://data.overheid.nl/data/dataset/vaarwegkenmerken-in-nederland-mta","Vaarwegkenmerken in Nederland MTA")</f>
        <v>Vaarwegkenmerken in Nederland MTA</v>
      </c>
      <c r="D1111" s="6" t="s">
        <v>17</v>
      </c>
      <c r="E1111" s="5" t="s">
        <v>18</v>
      </c>
      <c r="F1111" s="6" t="s">
        <v>813</v>
      </c>
      <c r="G1111" s="5" t="s">
        <v>692</v>
      </c>
      <c r="H1111" s="6" t="s">
        <v>20</v>
      </c>
      <c r="I1111" s="5" t="s">
        <v>21</v>
      </c>
      <c r="J1111" s="4" t="s">
        <v>22</v>
      </c>
      <c r="K1111" s="2" t="s">
        <v>23</v>
      </c>
      <c r="L1111" s="6" t="s">
        <v>24</v>
      </c>
      <c r="M1111" s="5" t="s">
        <v>25</v>
      </c>
      <c r="N1111" s="3" t="s">
        <v>26</v>
      </c>
      <c r="O1111" s="5">
        <v>2</v>
      </c>
      <c r="P1111" s="3" t="s">
        <v>23</v>
      </c>
      <c r="Q1111" s="5"/>
    </row>
    <row r="1112" spans="1:17" ht="31">
      <c r="A1112" s="5">
        <v>1107</v>
      </c>
      <c r="B1112" s="6" t="s">
        <v>16</v>
      </c>
      <c r="C1112" s="5" t="str">
        <f>HYPERLINK("http://data.overheid.nl/data/dataset/vaarwegkenmerken-in-nederland-lrg-trajecten","Vaarwegkenmerken in Nederland LRG-trajecten")</f>
        <v>Vaarwegkenmerken in Nederland LRG-trajecten</v>
      </c>
      <c r="D1112" s="6" t="s">
        <v>17</v>
      </c>
      <c r="E1112" s="5" t="s">
        <v>18</v>
      </c>
      <c r="F1112" s="6" t="s">
        <v>813</v>
      </c>
      <c r="G1112" s="5" t="s">
        <v>693</v>
      </c>
      <c r="H1112" s="6" t="s">
        <v>20</v>
      </c>
      <c r="I1112" s="5" t="s">
        <v>21</v>
      </c>
      <c r="J1112" s="4" t="s">
        <v>22</v>
      </c>
      <c r="K1112" s="2" t="s">
        <v>23</v>
      </c>
      <c r="L1112" s="6" t="s">
        <v>24</v>
      </c>
      <c r="M1112" s="5" t="s">
        <v>25</v>
      </c>
      <c r="N1112" s="3" t="s">
        <v>26</v>
      </c>
      <c r="O1112" s="5">
        <v>3</v>
      </c>
      <c r="P1112" s="3" t="s">
        <v>23</v>
      </c>
      <c r="Q1112" s="5"/>
    </row>
    <row r="1113" spans="1:17" ht="31">
      <c r="A1113" s="5">
        <v>1108</v>
      </c>
      <c r="B1113" s="6" t="s">
        <v>16</v>
      </c>
      <c r="C1113" s="5" t="str">
        <f>HYPERLINK("http://data.overheid.nl/data/dataset/vaarwegkenmerken-in-nederland-ligplaatsen","Vaarwegkenmerken in Nederland ligplaatsen")</f>
        <v>Vaarwegkenmerken in Nederland ligplaatsen</v>
      </c>
      <c r="D1113" s="6" t="s">
        <v>17</v>
      </c>
      <c r="E1113" s="5" t="s">
        <v>18</v>
      </c>
      <c r="F1113" s="6" t="s">
        <v>813</v>
      </c>
      <c r="G1113" s="5" t="s">
        <v>664</v>
      </c>
      <c r="H1113" s="6" t="s">
        <v>20</v>
      </c>
      <c r="I1113" s="5" t="s">
        <v>21</v>
      </c>
      <c r="J1113" s="4" t="s">
        <v>22</v>
      </c>
      <c r="K1113" s="2" t="s">
        <v>23</v>
      </c>
      <c r="L1113" s="6" t="s">
        <v>24</v>
      </c>
      <c r="M1113" s="5" t="s">
        <v>25</v>
      </c>
      <c r="N1113" s="3" t="s">
        <v>26</v>
      </c>
      <c r="O1113" s="5">
        <v>2</v>
      </c>
      <c r="P1113" s="3" t="s">
        <v>23</v>
      </c>
      <c r="Q1113" s="5"/>
    </row>
    <row r="1114" spans="1:17" ht="93">
      <c r="A1114" s="5">
        <v>1109</v>
      </c>
      <c r="B1114" s="6" t="s">
        <v>16</v>
      </c>
      <c r="C1114" s="5" t="str">
        <f>HYPERLINK("http://data.overheid.nl/data/dataset/vaarwegkenmerken-in-nederland-informatie-uit-volgssysteem-voor-de-scheepvaart","Vaarwegkenmerken in Nederland Informatie uit Volgssysteem voor de Scheepvaart")</f>
        <v>Vaarwegkenmerken in Nederland Informatie uit Volgssysteem voor de Scheepvaart</v>
      </c>
      <c r="D1114" s="6" t="s">
        <v>17</v>
      </c>
      <c r="E1114" s="5" t="s">
        <v>18</v>
      </c>
      <c r="F1114" s="6" t="s">
        <v>813</v>
      </c>
      <c r="G1114" s="5" t="s">
        <v>694</v>
      </c>
      <c r="H1114" s="6" t="s">
        <v>20</v>
      </c>
      <c r="I1114" s="5" t="s">
        <v>21</v>
      </c>
      <c r="J1114" s="4" t="s">
        <v>22</v>
      </c>
      <c r="K1114" s="2" t="s">
        <v>23</v>
      </c>
      <c r="L1114" s="6" t="s">
        <v>24</v>
      </c>
      <c r="M1114" s="5" t="s">
        <v>25</v>
      </c>
      <c r="N1114" s="3" t="s">
        <v>26</v>
      </c>
      <c r="O1114" s="5">
        <v>3</v>
      </c>
      <c r="P1114" s="3" t="s">
        <v>23</v>
      </c>
      <c r="Q1114" s="5"/>
    </row>
    <row r="1115" spans="1:17" ht="31">
      <c r="A1115" s="5">
        <v>1110</v>
      </c>
      <c r="B1115" s="6" t="s">
        <v>16</v>
      </c>
      <c r="C1115" s="5" t="str">
        <f>HYPERLINK("http://data.overheid.nl/data/dataset/vaarwegkenmerken-in-nederland-hoogspanningslijn","Vaarwegkenmerken in Nederland hoogspanningslijn")</f>
        <v>Vaarwegkenmerken in Nederland hoogspanningslijn</v>
      </c>
      <c r="D1115" s="6" t="s">
        <v>17</v>
      </c>
      <c r="E1115" s="5" t="s">
        <v>18</v>
      </c>
      <c r="F1115" s="6" t="s">
        <v>813</v>
      </c>
      <c r="G1115" s="5" t="s">
        <v>695</v>
      </c>
      <c r="H1115" s="6" t="s">
        <v>20</v>
      </c>
      <c r="I1115" s="5" t="s">
        <v>21</v>
      </c>
      <c r="J1115" s="4" t="s">
        <v>22</v>
      </c>
      <c r="K1115" s="2" t="s">
        <v>23</v>
      </c>
      <c r="L1115" s="6" t="s">
        <v>24</v>
      </c>
      <c r="M1115" s="5" t="s">
        <v>25</v>
      </c>
      <c r="N1115" s="3" t="s">
        <v>26</v>
      </c>
      <c r="O1115" s="5">
        <v>2</v>
      </c>
      <c r="P1115" s="3" t="s">
        <v>23</v>
      </c>
      <c r="Q1115" s="5"/>
    </row>
    <row r="1116" spans="1:17" ht="31">
      <c r="A1116" s="5">
        <v>1111</v>
      </c>
      <c r="B1116" s="6" t="s">
        <v>16</v>
      </c>
      <c r="C1116" s="5" t="str">
        <f>HYPERLINK("http://data.overheid.nl/data/dataset/vaarwegkenmerken-in-nederland-havens","Vaarwegkenmerken in Nederland havens")</f>
        <v>Vaarwegkenmerken in Nederland havens</v>
      </c>
      <c r="D1116" s="6" t="s">
        <v>17</v>
      </c>
      <c r="E1116" s="5" t="s">
        <v>18</v>
      </c>
      <c r="F1116" s="6" t="s">
        <v>813</v>
      </c>
      <c r="G1116" s="5" t="s">
        <v>668</v>
      </c>
      <c r="H1116" s="6" t="s">
        <v>20</v>
      </c>
      <c r="I1116" s="5" t="s">
        <v>21</v>
      </c>
      <c r="J1116" s="4" t="s">
        <v>22</v>
      </c>
      <c r="K1116" s="2" t="s">
        <v>23</v>
      </c>
      <c r="L1116" s="6" t="s">
        <v>24</v>
      </c>
      <c r="M1116" s="5" t="s">
        <v>25</v>
      </c>
      <c r="N1116" s="3" t="s">
        <v>26</v>
      </c>
      <c r="O1116" s="5">
        <v>2</v>
      </c>
      <c r="P1116" s="3" t="s">
        <v>23</v>
      </c>
      <c r="Q1116" s="5"/>
    </row>
    <row r="1117" spans="1:17" ht="108.5">
      <c r="A1117" s="5">
        <v>1112</v>
      </c>
      <c r="B1117" s="6" t="s">
        <v>16</v>
      </c>
      <c r="C1117" s="5" t="str">
        <f>HYPERLINK("http://data.overheid.nl/data/dataset/vaarwegkenmerken-in-nederland-diepte-vaarweg","Vaarwegkenmerken in Nederland diepte vaarweg")</f>
        <v>Vaarwegkenmerken in Nederland diepte vaarweg</v>
      </c>
      <c r="D1117" s="6" t="s">
        <v>17</v>
      </c>
      <c r="E1117" s="5" t="s">
        <v>18</v>
      </c>
      <c r="F1117" s="6" t="s">
        <v>813</v>
      </c>
      <c r="G1117" s="5" t="s">
        <v>696</v>
      </c>
      <c r="H1117" s="6" t="s">
        <v>20</v>
      </c>
      <c r="I1117" s="5" t="s">
        <v>21</v>
      </c>
      <c r="J1117" s="4" t="s">
        <v>22</v>
      </c>
      <c r="K1117" s="2" t="s">
        <v>23</v>
      </c>
      <c r="L1117" s="6" t="s">
        <v>24</v>
      </c>
      <c r="M1117" s="5" t="s">
        <v>25</v>
      </c>
      <c r="N1117" s="3" t="s">
        <v>26</v>
      </c>
      <c r="O1117" s="5">
        <v>2</v>
      </c>
      <c r="P1117" s="3" t="s">
        <v>23</v>
      </c>
      <c r="Q1117" s="5"/>
    </row>
    <row r="1118" spans="1:17" ht="31">
      <c r="A1118" s="5">
        <v>1113</v>
      </c>
      <c r="B1118" s="6" t="s">
        <v>16</v>
      </c>
      <c r="C1118" s="5" t="str">
        <f>HYPERLINK("http://data.overheid.nl/data/dataset/vaarwegkenmerken-in-nederland-bunkerstations","Vaarwegkenmerken in Nederland bunkerstations")</f>
        <v>Vaarwegkenmerken in Nederland bunkerstations</v>
      </c>
      <c r="D1118" s="6" t="s">
        <v>17</v>
      </c>
      <c r="E1118" s="5" t="s">
        <v>18</v>
      </c>
      <c r="F1118" s="6" t="s">
        <v>813</v>
      </c>
      <c r="G1118" s="5" t="s">
        <v>670</v>
      </c>
      <c r="H1118" s="6" t="s">
        <v>20</v>
      </c>
      <c r="I1118" s="5" t="s">
        <v>21</v>
      </c>
      <c r="J1118" s="4" t="s">
        <v>22</v>
      </c>
      <c r="K1118" s="2" t="s">
        <v>23</v>
      </c>
      <c r="L1118" s="6" t="s">
        <v>24</v>
      </c>
      <c r="M1118" s="5" t="s">
        <v>25</v>
      </c>
      <c r="N1118" s="3" t="s">
        <v>26</v>
      </c>
      <c r="O1118" s="5">
        <v>2</v>
      </c>
      <c r="P1118" s="3" t="s">
        <v>23</v>
      </c>
      <c r="Q1118" s="5"/>
    </row>
    <row r="1119" spans="1:17" ht="31">
      <c r="A1119" s="5">
        <v>1114</v>
      </c>
      <c r="B1119" s="6" t="s">
        <v>16</v>
      </c>
      <c r="C1119" s="5" t="str">
        <f>HYPERLINK("http://data.overheid.nl/data/dataset/vaarwegkenmerken-in-nederland-bruggen","Vaarwegkenmerken in Nederland bruggen")</f>
        <v>Vaarwegkenmerken in Nederland bruggen</v>
      </c>
      <c r="D1119" s="6" t="s">
        <v>17</v>
      </c>
      <c r="E1119" s="5" t="s">
        <v>18</v>
      </c>
      <c r="F1119" s="6" t="s">
        <v>813</v>
      </c>
      <c r="G1119" s="5" t="s">
        <v>671</v>
      </c>
      <c r="H1119" s="6" t="s">
        <v>20</v>
      </c>
      <c r="I1119" s="5" t="s">
        <v>21</v>
      </c>
      <c r="J1119" s="4" t="s">
        <v>22</v>
      </c>
      <c r="K1119" s="2" t="s">
        <v>23</v>
      </c>
      <c r="L1119" s="6" t="s">
        <v>24</v>
      </c>
      <c r="M1119" s="5" t="s">
        <v>25</v>
      </c>
      <c r="N1119" s="3" t="s">
        <v>26</v>
      </c>
      <c r="O1119" s="5">
        <v>2</v>
      </c>
      <c r="P1119" s="3" t="s">
        <v>23</v>
      </c>
      <c r="Q1119" s="5"/>
    </row>
    <row r="1120" spans="1:17" ht="31">
      <c r="A1120" s="5">
        <v>1115</v>
      </c>
      <c r="B1120" s="6" t="s">
        <v>16</v>
      </c>
      <c r="C1120" s="5" t="str">
        <f>HYPERLINK("http://data.overheid.nl/data/dataset/vaarweg-informatie-nederland-ijstrajecten","Vaarweg Informatie Nederland ijstrajecten")</f>
        <v>Vaarweg Informatie Nederland ijstrajecten</v>
      </c>
      <c r="D1120" s="6" t="s">
        <v>17</v>
      </c>
      <c r="E1120" s="5" t="s">
        <v>18</v>
      </c>
      <c r="F1120" s="6" t="s">
        <v>813</v>
      </c>
      <c r="G1120" s="5" t="s">
        <v>654</v>
      </c>
      <c r="H1120" s="6" t="s">
        <v>20</v>
      </c>
      <c r="I1120" s="5" t="s">
        <v>21</v>
      </c>
      <c r="J1120" s="4" t="s">
        <v>22</v>
      </c>
      <c r="K1120" s="2" t="s">
        <v>23</v>
      </c>
      <c r="L1120" s="6" t="s">
        <v>24</v>
      </c>
      <c r="M1120" s="5" t="s">
        <v>25</v>
      </c>
      <c r="N1120" s="3" t="s">
        <v>26</v>
      </c>
      <c r="O1120" s="5">
        <v>2</v>
      </c>
      <c r="P1120" s="3" t="s">
        <v>23</v>
      </c>
      <c r="Q1120" s="5"/>
    </row>
    <row r="1121" spans="1:17" ht="62">
      <c r="A1121" s="5">
        <v>1116</v>
      </c>
      <c r="B1121" s="6" t="s">
        <v>16</v>
      </c>
      <c r="C1121" s="5" t="str">
        <f>HYPERLINK("http://data.overheid.nl/data/dataset/nis-verzorgingsplaatsen","NIS Verzorgingsplaatsen")</f>
        <v>NIS Verzorgingsplaatsen</v>
      </c>
      <c r="D1121" s="6" t="s">
        <v>17</v>
      </c>
      <c r="E1121" s="5" t="s">
        <v>18</v>
      </c>
      <c r="F1121" s="6" t="s">
        <v>813</v>
      </c>
      <c r="G1121" s="5" t="s">
        <v>697</v>
      </c>
      <c r="H1121" s="6" t="s">
        <v>20</v>
      </c>
      <c r="I1121" s="5" t="s">
        <v>21</v>
      </c>
      <c r="J1121" s="4" t="s">
        <v>22</v>
      </c>
      <c r="K1121" s="2" t="s">
        <v>23</v>
      </c>
      <c r="L1121" s="6" t="s">
        <v>24</v>
      </c>
      <c r="M1121" s="5" t="s">
        <v>25</v>
      </c>
      <c r="N1121" s="3" t="s">
        <v>26</v>
      </c>
      <c r="O1121" s="5">
        <v>2</v>
      </c>
      <c r="P1121" s="3" t="s">
        <v>23</v>
      </c>
      <c r="Q1121" s="5"/>
    </row>
    <row r="1122" spans="1:17" ht="93">
      <c r="A1122" s="5">
        <v>1117</v>
      </c>
      <c r="B1122" s="6" t="s">
        <v>16</v>
      </c>
      <c r="C1122" s="5" t="str">
        <f>HYPERLINK("http://data.overheid.nl/data/dataset/nis-verkeersvoorzieningen-hwn-wim-2014","NIS Verkeersvoorzieningen HWN: WIM 2014")</f>
        <v>NIS Verkeersvoorzieningen HWN: WIM 2014</v>
      </c>
      <c r="D1122" s="6" t="s">
        <v>17</v>
      </c>
      <c r="E1122" s="5" t="s">
        <v>18</v>
      </c>
      <c r="F1122" s="6" t="s">
        <v>813</v>
      </c>
      <c r="G1122" s="5" t="s">
        <v>672</v>
      </c>
      <c r="H1122" s="6" t="s">
        <v>28</v>
      </c>
      <c r="I1122" s="5" t="s">
        <v>21</v>
      </c>
      <c r="J1122" s="4" t="s">
        <v>22</v>
      </c>
      <c r="K1122" s="2" t="s">
        <v>23</v>
      </c>
      <c r="L1122" s="6" t="s">
        <v>24</v>
      </c>
      <c r="M1122" s="5" t="s">
        <v>25</v>
      </c>
      <c r="N1122" s="3" t="s">
        <v>26</v>
      </c>
      <c r="O1122" s="5">
        <v>2</v>
      </c>
      <c r="P1122" s="3" t="s">
        <v>23</v>
      </c>
      <c r="Q1122" s="5"/>
    </row>
    <row r="1123" spans="1:17" ht="93">
      <c r="A1123" s="5">
        <v>1118</v>
      </c>
      <c r="B1123" s="6" t="s">
        <v>16</v>
      </c>
      <c r="C1123" s="5" t="str">
        <f>HYPERLINK("http://data.overheid.nl/data/dataset/nis-verkeersvoorzieningen-hwn-videocamarasytemen-vad-2014","NIS Verkeersvoorzieningen HWN: Videocamarasytemen (VAD) 2014")</f>
        <v>NIS Verkeersvoorzieningen HWN: Videocamarasytemen (VAD) 2014</v>
      </c>
      <c r="D1123" s="6" t="s">
        <v>17</v>
      </c>
      <c r="E1123" s="5" t="s">
        <v>18</v>
      </c>
      <c r="F1123" s="6" t="s">
        <v>813</v>
      </c>
      <c r="G1123" s="5" t="s">
        <v>672</v>
      </c>
      <c r="H1123" s="6" t="s">
        <v>20</v>
      </c>
      <c r="I1123" s="5" t="s">
        <v>21</v>
      </c>
      <c r="J1123" s="4" t="s">
        <v>22</v>
      </c>
      <c r="K1123" s="2" t="s">
        <v>23</v>
      </c>
      <c r="L1123" s="6" t="s">
        <v>24</v>
      </c>
      <c r="M1123" s="5" t="s">
        <v>25</v>
      </c>
      <c r="N1123" s="3" t="s">
        <v>26</v>
      </c>
      <c r="O1123" s="5">
        <v>4</v>
      </c>
      <c r="P1123" s="3" t="s">
        <v>23</v>
      </c>
      <c r="Q1123" s="5"/>
    </row>
    <row r="1124" spans="1:17" ht="93">
      <c r="A1124" s="5">
        <v>1119</v>
      </c>
      <c r="B1124" s="6" t="s">
        <v>16</v>
      </c>
      <c r="C1124" s="5" t="str">
        <f>HYPERLINK("http://data.overheid.nl/data/dataset/nis-verkeersvoorzieningen-hwn-verkeersregeling-2014","NIS Verkeersvoorzieningen HWN: Verkeersregeling 2014")</f>
        <v>NIS Verkeersvoorzieningen HWN: Verkeersregeling 2014</v>
      </c>
      <c r="D1124" s="6" t="s">
        <v>17</v>
      </c>
      <c r="E1124" s="5" t="s">
        <v>18</v>
      </c>
      <c r="F1124" s="6" t="s">
        <v>813</v>
      </c>
      <c r="G1124" s="5" t="s">
        <v>672</v>
      </c>
      <c r="H1124" s="6" t="s">
        <v>28</v>
      </c>
      <c r="I1124" s="5" t="s">
        <v>21</v>
      </c>
      <c r="J1124" s="4" t="s">
        <v>22</v>
      </c>
      <c r="K1124" s="2" t="s">
        <v>23</v>
      </c>
      <c r="L1124" s="6" t="s">
        <v>24</v>
      </c>
      <c r="M1124" s="5" t="s">
        <v>25</v>
      </c>
      <c r="N1124" s="3" t="s">
        <v>26</v>
      </c>
      <c r="O1124" s="5">
        <v>6</v>
      </c>
      <c r="P1124" s="3" t="s">
        <v>23</v>
      </c>
      <c r="Q1124" s="5"/>
    </row>
    <row r="1125" spans="1:17" ht="93">
      <c r="A1125" s="5">
        <v>1120</v>
      </c>
      <c r="B1125" s="6" t="s">
        <v>16</v>
      </c>
      <c r="C1125" s="5" t="str">
        <f>HYPERLINK("http://data.overheid.nl/data/dataset/nis-verkeersvoorzieningen-hwn-verkeersignalering-2014","NIS Verkeersvoorzieningen HWN: Verkeersignalering 2014")</f>
        <v>NIS Verkeersvoorzieningen HWN: Verkeersignalering 2014</v>
      </c>
      <c r="D1125" s="6" t="s">
        <v>17</v>
      </c>
      <c r="E1125" s="5" t="s">
        <v>18</v>
      </c>
      <c r="F1125" s="6" t="s">
        <v>813</v>
      </c>
      <c r="G1125" s="5" t="s">
        <v>672</v>
      </c>
      <c r="H1125" s="6" t="s">
        <v>20</v>
      </c>
      <c r="I1125" s="5" t="s">
        <v>21</v>
      </c>
      <c r="J1125" s="4" t="s">
        <v>22</v>
      </c>
      <c r="K1125" s="2" t="s">
        <v>23</v>
      </c>
      <c r="L1125" s="6" t="s">
        <v>24</v>
      </c>
      <c r="M1125" s="5" t="s">
        <v>25</v>
      </c>
      <c r="N1125" s="3" t="s">
        <v>26</v>
      </c>
      <c r="O1125" s="5">
        <v>4</v>
      </c>
      <c r="P1125" s="3" t="s">
        <v>23</v>
      </c>
      <c r="Q1125" s="5"/>
    </row>
    <row r="1126" spans="1:17" ht="93">
      <c r="A1126" s="5">
        <v>1121</v>
      </c>
      <c r="B1126" s="6" t="s">
        <v>16</v>
      </c>
      <c r="C1126" s="5" t="str">
        <f>HYPERLINK("http://data.overheid.nl/data/dataset/nis-verkeersvoorzieningen-hwn-snelheidsmaatregel-2014","NIS Verkeersvoorzieningen HWN: Snelheidsmaatregel 2014")</f>
        <v>NIS Verkeersvoorzieningen HWN: Snelheidsmaatregel 2014</v>
      </c>
      <c r="D1126" s="6" t="s">
        <v>17</v>
      </c>
      <c r="E1126" s="5" t="s">
        <v>18</v>
      </c>
      <c r="F1126" s="6" t="s">
        <v>813</v>
      </c>
      <c r="G1126" s="5" t="s">
        <v>672</v>
      </c>
      <c r="H1126" s="6" t="s">
        <v>28</v>
      </c>
      <c r="I1126" s="5" t="s">
        <v>21</v>
      </c>
      <c r="J1126" s="4" t="s">
        <v>22</v>
      </c>
      <c r="K1126" s="2" t="s">
        <v>23</v>
      </c>
      <c r="L1126" s="6" t="s">
        <v>24</v>
      </c>
      <c r="M1126" s="5" t="s">
        <v>25</v>
      </c>
      <c r="N1126" s="3" t="s">
        <v>26</v>
      </c>
      <c r="O1126" s="5">
        <v>2</v>
      </c>
      <c r="P1126" s="3" t="s">
        <v>23</v>
      </c>
      <c r="Q1126" s="5"/>
    </row>
    <row r="1127" spans="1:17" ht="93">
      <c r="A1127" s="5">
        <v>1122</v>
      </c>
      <c r="B1127" s="6" t="s">
        <v>16</v>
      </c>
      <c r="C1127" s="5" t="str">
        <f>HYPERLINK("http://data.overheid.nl/data/dataset/nis-verkeersvoorzieningen-hwn-rotatiepaneel-argumentatiebord-2014","NIS Verkeersvoorzieningen HWN: Rotatiepaneel Argumentatiebord 2014")</f>
        <v>NIS Verkeersvoorzieningen HWN: Rotatiepaneel Argumentatiebord 2014</v>
      </c>
      <c r="D1127" s="6" t="s">
        <v>17</v>
      </c>
      <c r="E1127" s="5" t="s">
        <v>18</v>
      </c>
      <c r="F1127" s="6" t="s">
        <v>813</v>
      </c>
      <c r="G1127" s="5" t="s">
        <v>672</v>
      </c>
      <c r="H1127" s="6" t="s">
        <v>20</v>
      </c>
      <c r="I1127" s="5" t="s">
        <v>21</v>
      </c>
      <c r="J1127" s="4" t="s">
        <v>22</v>
      </c>
      <c r="K1127" s="2" t="s">
        <v>23</v>
      </c>
      <c r="L1127" s="6" t="s">
        <v>24</v>
      </c>
      <c r="M1127" s="5" t="s">
        <v>25</v>
      </c>
      <c r="N1127" s="3" t="s">
        <v>26</v>
      </c>
      <c r="O1127" s="5">
        <v>4</v>
      </c>
      <c r="P1127" s="3" t="s">
        <v>23</v>
      </c>
      <c r="Q1127" s="5"/>
    </row>
    <row r="1128" spans="1:17" ht="93">
      <c r="A1128" s="5">
        <v>1123</v>
      </c>
      <c r="B1128" s="6" t="s">
        <v>16</v>
      </c>
      <c r="C1128" s="5" t="str">
        <f>HYPERLINK("http://data.overheid.nl/data/dataset/nis-verkeersvoorzieningen-hwn-pijlkruisinstallatie-2014","NIS Verkeersvoorzieningen HWN: Pijlkruisinstallatie 2014")</f>
        <v>NIS Verkeersvoorzieningen HWN: Pijlkruisinstallatie 2014</v>
      </c>
      <c r="D1128" s="6" t="s">
        <v>17</v>
      </c>
      <c r="E1128" s="5" t="s">
        <v>18</v>
      </c>
      <c r="F1128" s="6" t="s">
        <v>813</v>
      </c>
      <c r="G1128" s="5" t="s">
        <v>672</v>
      </c>
      <c r="H1128" s="6" t="s">
        <v>28</v>
      </c>
      <c r="I1128" s="5" t="s">
        <v>21</v>
      </c>
      <c r="J1128" s="4" t="s">
        <v>22</v>
      </c>
      <c r="K1128" s="2" t="s">
        <v>23</v>
      </c>
      <c r="L1128" s="6" t="s">
        <v>24</v>
      </c>
      <c r="M1128" s="5" t="s">
        <v>25</v>
      </c>
      <c r="N1128" s="3" t="s">
        <v>26</v>
      </c>
      <c r="O1128" s="5">
        <v>6</v>
      </c>
      <c r="P1128" s="3" t="s">
        <v>23</v>
      </c>
      <c r="Q1128" s="5"/>
    </row>
    <row r="1129" spans="1:17" ht="93">
      <c r="A1129" s="5">
        <v>1124</v>
      </c>
      <c r="B1129" s="6" t="s">
        <v>16</v>
      </c>
      <c r="C1129" s="5" t="str">
        <f>HYPERLINK("http://data.overheid.nl/data/dataset/nis-verkeersvoorzieningen-hwn-mtm-objecten-2014","NIS Verkeersvoorzieningen HWN: MTM objecten 2014")</f>
        <v>NIS Verkeersvoorzieningen HWN: MTM objecten 2014</v>
      </c>
      <c r="D1129" s="6" t="s">
        <v>17</v>
      </c>
      <c r="E1129" s="5" t="s">
        <v>18</v>
      </c>
      <c r="F1129" s="6" t="s">
        <v>813</v>
      </c>
      <c r="G1129" s="5" t="s">
        <v>672</v>
      </c>
      <c r="H1129" s="6" t="s">
        <v>20</v>
      </c>
      <c r="I1129" s="5" t="s">
        <v>21</v>
      </c>
      <c r="J1129" s="4" t="s">
        <v>22</v>
      </c>
      <c r="K1129" s="2" t="s">
        <v>23</v>
      </c>
      <c r="L1129" s="6" t="s">
        <v>24</v>
      </c>
      <c r="M1129" s="5" t="s">
        <v>25</v>
      </c>
      <c r="N1129" s="3" t="s">
        <v>26</v>
      </c>
      <c r="O1129" s="5">
        <v>16</v>
      </c>
      <c r="P1129" s="3" t="s">
        <v>23</v>
      </c>
      <c r="Q1129" s="5"/>
    </row>
    <row r="1130" spans="1:17" ht="93">
      <c r="A1130" s="5">
        <v>1125</v>
      </c>
      <c r="B1130" s="6" t="s">
        <v>16</v>
      </c>
      <c r="C1130" s="5" t="str">
        <f>HYPERLINK("http://data.overheid.nl/data/dataset/nis-verkeersvoorzieningen-hwn-monitoringobjecten-2014","NIS Verkeersvoorzieningen HWN: Monitoringobjecten 2014")</f>
        <v>NIS Verkeersvoorzieningen HWN: Monitoringobjecten 2014</v>
      </c>
      <c r="D1130" s="6" t="s">
        <v>17</v>
      </c>
      <c r="E1130" s="5" t="s">
        <v>18</v>
      </c>
      <c r="F1130" s="6" t="s">
        <v>813</v>
      </c>
      <c r="G1130" s="5" t="s">
        <v>672</v>
      </c>
      <c r="H1130" s="6" t="s">
        <v>28</v>
      </c>
      <c r="I1130" s="5" t="s">
        <v>21</v>
      </c>
      <c r="J1130" s="4" t="s">
        <v>22</v>
      </c>
      <c r="K1130" s="2" t="s">
        <v>23</v>
      </c>
      <c r="L1130" s="6" t="s">
        <v>24</v>
      </c>
      <c r="M1130" s="5" t="s">
        <v>25</v>
      </c>
      <c r="N1130" s="3" t="s">
        <v>26</v>
      </c>
      <c r="O1130" s="5">
        <v>2</v>
      </c>
      <c r="P1130" s="3" t="s">
        <v>23</v>
      </c>
      <c r="Q1130" s="5"/>
    </row>
    <row r="1131" spans="1:17" ht="93">
      <c r="A1131" s="5">
        <v>1126</v>
      </c>
      <c r="B1131" s="6" t="s">
        <v>16</v>
      </c>
      <c r="C1131" s="5" t="str">
        <f>HYPERLINK("http://data.overheid.nl/data/dataset/nis-verkeersvoorzieningen-hwn-monitoring-2014","NIS Verkeersvoorzieningen HWN: Monitoring 2014")</f>
        <v>NIS Verkeersvoorzieningen HWN: Monitoring 2014</v>
      </c>
      <c r="D1131" s="6" t="s">
        <v>17</v>
      </c>
      <c r="E1131" s="5" t="s">
        <v>18</v>
      </c>
      <c r="F1131" s="6" t="s">
        <v>813</v>
      </c>
      <c r="G1131" s="5" t="s">
        <v>672</v>
      </c>
      <c r="H1131" s="6" t="s">
        <v>28</v>
      </c>
      <c r="I1131" s="5" t="s">
        <v>21</v>
      </c>
      <c r="J1131" s="4" t="s">
        <v>22</v>
      </c>
      <c r="K1131" s="2" t="s">
        <v>23</v>
      </c>
      <c r="L1131" s="6" t="s">
        <v>24</v>
      </c>
      <c r="M1131" s="5" t="s">
        <v>25</v>
      </c>
      <c r="N1131" s="3" t="s">
        <v>26</v>
      </c>
      <c r="O1131" s="5">
        <v>2</v>
      </c>
      <c r="P1131" s="3" t="s">
        <v>23</v>
      </c>
      <c r="Q1131" s="5"/>
    </row>
    <row r="1132" spans="1:17" ht="93">
      <c r="A1132" s="5">
        <v>1127</v>
      </c>
      <c r="B1132" s="6" t="s">
        <v>16</v>
      </c>
      <c r="C1132" s="5" t="str">
        <f>HYPERLINK("http://data.overheid.nl/data/dataset/nis-verkeersvoorzieningen-hwn-inhaalverboden-vrachtverkeer-2014","NIS Verkeersvoorzieningen HWN: Inhaalverboden vrachtverkeer 2014")</f>
        <v>NIS Verkeersvoorzieningen HWN: Inhaalverboden vrachtverkeer 2014</v>
      </c>
      <c r="D1132" s="6" t="s">
        <v>17</v>
      </c>
      <c r="E1132" s="5" t="s">
        <v>18</v>
      </c>
      <c r="F1132" s="6" t="s">
        <v>813</v>
      </c>
      <c r="G1132" s="5" t="s">
        <v>672</v>
      </c>
      <c r="H1132" s="6" t="s">
        <v>20</v>
      </c>
      <c r="I1132" s="5" t="s">
        <v>21</v>
      </c>
      <c r="J1132" s="4" t="s">
        <v>22</v>
      </c>
      <c r="K1132" s="2" t="s">
        <v>23</v>
      </c>
      <c r="L1132" s="6" t="s">
        <v>24</v>
      </c>
      <c r="M1132" s="5" t="s">
        <v>25</v>
      </c>
      <c r="N1132" s="3" t="s">
        <v>26</v>
      </c>
      <c r="O1132" s="5">
        <v>2</v>
      </c>
      <c r="P1132" s="3" t="s">
        <v>23</v>
      </c>
      <c r="Q1132" s="5"/>
    </row>
    <row r="1133" spans="1:17" ht="93">
      <c r="A1133" s="5">
        <v>1128</v>
      </c>
      <c r="B1133" s="6" t="s">
        <v>16</v>
      </c>
      <c r="C1133" s="5" t="str">
        <f>HYPERLINK("http://data.overheid.nl/data/dataset/nis-verkeersvoorzieningen-hwn-gms-systemen-2014","NIS Verkeersvoorzieningen HWN: GMS Systemen 2014")</f>
        <v>NIS Verkeersvoorzieningen HWN: GMS Systemen 2014</v>
      </c>
      <c r="D1133" s="6" t="s">
        <v>17</v>
      </c>
      <c r="E1133" s="5" t="s">
        <v>18</v>
      </c>
      <c r="F1133" s="6" t="s">
        <v>813</v>
      </c>
      <c r="G1133" s="5" t="s">
        <v>672</v>
      </c>
      <c r="H1133" s="6" t="s">
        <v>28</v>
      </c>
      <c r="I1133" s="5" t="s">
        <v>21</v>
      </c>
      <c r="J1133" s="4" t="s">
        <v>22</v>
      </c>
      <c r="K1133" s="2" t="s">
        <v>23</v>
      </c>
      <c r="L1133" s="6" t="s">
        <v>24</v>
      </c>
      <c r="M1133" s="5" t="s">
        <v>25</v>
      </c>
      <c r="N1133" s="3" t="s">
        <v>26</v>
      </c>
      <c r="O1133" s="5">
        <v>6</v>
      </c>
      <c r="P1133" s="3" t="s">
        <v>23</v>
      </c>
      <c r="Q1133" s="5"/>
    </row>
    <row r="1134" spans="1:17" ht="93">
      <c r="A1134" s="5">
        <v>1129</v>
      </c>
      <c r="B1134" s="6" t="s">
        <v>16</v>
      </c>
      <c r="C1134" s="5" t="str">
        <f>HYPERLINK("http://data.overheid.nl/data/dataset/nis-verkeersvoorzieningen-hwn-functionele-stroken-2014","NIS Verkeersvoorzieningen HWN: Functionele stroken 2014")</f>
        <v>NIS Verkeersvoorzieningen HWN: Functionele stroken 2014</v>
      </c>
      <c r="D1134" s="6" t="s">
        <v>17</v>
      </c>
      <c r="E1134" s="5" t="s">
        <v>18</v>
      </c>
      <c r="F1134" s="6" t="s">
        <v>813</v>
      </c>
      <c r="G1134" s="5" t="s">
        <v>672</v>
      </c>
      <c r="H1134" s="6" t="s">
        <v>20</v>
      </c>
      <c r="I1134" s="5" t="s">
        <v>21</v>
      </c>
      <c r="J1134" s="4" t="s">
        <v>22</v>
      </c>
      <c r="K1134" s="2" t="s">
        <v>23</v>
      </c>
      <c r="L1134" s="6" t="s">
        <v>24</v>
      </c>
      <c r="M1134" s="5" t="s">
        <v>25</v>
      </c>
      <c r="N1134" s="3" t="s">
        <v>26</v>
      </c>
      <c r="O1134" s="5">
        <v>2</v>
      </c>
      <c r="P1134" s="3" t="s">
        <v>23</v>
      </c>
      <c r="Q1134" s="5"/>
    </row>
    <row r="1135" spans="1:17" ht="93">
      <c r="A1135" s="5">
        <v>1130</v>
      </c>
      <c r="B1135" s="6" t="s">
        <v>16</v>
      </c>
      <c r="C1135" s="5" t="str">
        <f>HYPERLINK("http://data.overheid.nl/data/dataset/nis-verkeersvoorzieningen-hwn-dynamische-trajectgegevens-2014","NIS Verkeersvoorzieningen HWN: Dynamische trajectgegevens 2014")</f>
        <v>NIS Verkeersvoorzieningen HWN: Dynamische trajectgegevens 2014</v>
      </c>
      <c r="D1135" s="6" t="s">
        <v>17</v>
      </c>
      <c r="E1135" s="5" t="s">
        <v>18</v>
      </c>
      <c r="F1135" s="6" t="s">
        <v>813</v>
      </c>
      <c r="G1135" s="5" t="s">
        <v>672</v>
      </c>
      <c r="H1135" s="6" t="s">
        <v>28</v>
      </c>
      <c r="I1135" s="5" t="s">
        <v>21</v>
      </c>
      <c r="J1135" s="4" t="s">
        <v>22</v>
      </c>
      <c r="K1135" s="2" t="s">
        <v>23</v>
      </c>
      <c r="L1135" s="6" t="s">
        <v>24</v>
      </c>
      <c r="M1135" s="5" t="s">
        <v>25</v>
      </c>
      <c r="N1135" s="3" t="s">
        <v>26</v>
      </c>
      <c r="O1135" s="5">
        <v>2</v>
      </c>
      <c r="P1135" s="3" t="s">
        <v>23</v>
      </c>
      <c r="Q1135" s="5"/>
    </row>
    <row r="1136" spans="1:17" ht="93">
      <c r="A1136" s="5">
        <v>1131</v>
      </c>
      <c r="B1136" s="6" t="s">
        <v>16</v>
      </c>
      <c r="C1136" s="5" t="str">
        <f>HYPERLINK("http://data.overheid.nl/data/dataset/nis-verkeersvoorzieningen-hwn-drip-2014","NIS Verkeersvoorzieningen HWN: DRIP 2014")</f>
        <v>NIS Verkeersvoorzieningen HWN: DRIP 2014</v>
      </c>
      <c r="D1136" s="6" t="s">
        <v>17</v>
      </c>
      <c r="E1136" s="5" t="s">
        <v>18</v>
      </c>
      <c r="F1136" s="6" t="s">
        <v>813</v>
      </c>
      <c r="G1136" s="5" t="s">
        <v>672</v>
      </c>
      <c r="H1136" s="6" t="s">
        <v>20</v>
      </c>
      <c r="I1136" s="5" t="s">
        <v>21</v>
      </c>
      <c r="J1136" s="4" t="s">
        <v>22</v>
      </c>
      <c r="K1136" s="2" t="s">
        <v>23</v>
      </c>
      <c r="L1136" s="6" t="s">
        <v>24</v>
      </c>
      <c r="M1136" s="5" t="s">
        <v>25</v>
      </c>
      <c r="N1136" s="3" t="s">
        <v>26</v>
      </c>
      <c r="O1136" s="5">
        <v>6</v>
      </c>
      <c r="P1136" s="3" t="s">
        <v>23</v>
      </c>
      <c r="Q1136" s="5"/>
    </row>
    <row r="1137" spans="1:17" ht="93">
      <c r="A1137" s="5">
        <v>1132</v>
      </c>
      <c r="B1137" s="6" t="s">
        <v>16</v>
      </c>
      <c r="C1137" s="5" t="str">
        <f>HYPERLINK("http://data.overheid.nl/data/dataset/nis-verkeersvoorzieningen-hwn-doelgroepstroken-2014","NIS Verkeersvoorzieningen HWN: Doelgroepstroken 2014")</f>
        <v>NIS Verkeersvoorzieningen HWN: Doelgroepstroken 2014</v>
      </c>
      <c r="D1137" s="6" t="s">
        <v>17</v>
      </c>
      <c r="E1137" s="5" t="s">
        <v>18</v>
      </c>
      <c r="F1137" s="6" t="s">
        <v>813</v>
      </c>
      <c r="G1137" s="5" t="s">
        <v>672</v>
      </c>
      <c r="H1137" s="6" t="s">
        <v>28</v>
      </c>
      <c r="I1137" s="5" t="s">
        <v>21</v>
      </c>
      <c r="J1137" s="4" t="s">
        <v>22</v>
      </c>
      <c r="K1137" s="2" t="s">
        <v>23</v>
      </c>
      <c r="L1137" s="6" t="s">
        <v>24</v>
      </c>
      <c r="M1137" s="5" t="s">
        <v>25</v>
      </c>
      <c r="N1137" s="3" t="s">
        <v>26</v>
      </c>
      <c r="O1137" s="5">
        <v>4</v>
      </c>
      <c r="P1137" s="3" t="s">
        <v>23</v>
      </c>
      <c r="Q1137" s="5"/>
    </row>
    <row r="1138" spans="1:17" ht="155">
      <c r="A1138" s="5">
        <v>1133</v>
      </c>
      <c r="B1138" s="6" t="s">
        <v>16</v>
      </c>
      <c r="C1138" s="5" t="str">
        <f>HYPERLINK("http://data.overheid.nl/data/dataset/nis-vaarwegcategorieen-hvwn","NIS Vaarwegcategorieen HVWN")</f>
        <v>NIS Vaarwegcategorieen HVWN</v>
      </c>
      <c r="D1138" s="6" t="s">
        <v>17</v>
      </c>
      <c r="E1138" s="5" t="s">
        <v>18</v>
      </c>
      <c r="F1138" s="6" t="s">
        <v>813</v>
      </c>
      <c r="G1138" s="5" t="s">
        <v>698</v>
      </c>
      <c r="H1138" s="6" t="s">
        <v>28</v>
      </c>
      <c r="I1138" s="5" t="s">
        <v>21</v>
      </c>
      <c r="J1138" s="4" t="s">
        <v>22</v>
      </c>
      <c r="K1138" s="2" t="s">
        <v>23</v>
      </c>
      <c r="L1138" s="6" t="s">
        <v>24</v>
      </c>
      <c r="M1138" s="5" t="s">
        <v>25</v>
      </c>
      <c r="N1138" s="3" t="s">
        <v>26</v>
      </c>
      <c r="O1138" s="5">
        <v>3</v>
      </c>
      <c r="P1138" s="3" t="s">
        <v>23</v>
      </c>
      <c r="Q1138" s="5"/>
    </row>
    <row r="1139" spans="1:17" ht="170.5">
      <c r="A1139" s="5">
        <v>1134</v>
      </c>
      <c r="B1139" s="6" t="s">
        <v>16</v>
      </c>
      <c r="C1139" s="5" t="str">
        <f>HYPERLINK("http://data.overheid.nl/data/dataset/nis-bevroren-versie-nationaal-wegen-bestand-wegen-wegvakken-punten","NIS bevroren versie: Nationaal Wegen Bestand Wegen wegvakken punten")</f>
        <v>NIS bevroren versie: Nationaal Wegen Bestand Wegen wegvakken punten</v>
      </c>
      <c r="D1139" s="6" t="s">
        <v>17</v>
      </c>
      <c r="E1139" s="5" t="s">
        <v>18</v>
      </c>
      <c r="F1139" s="6" t="s">
        <v>813</v>
      </c>
      <c r="G1139" s="5" t="s">
        <v>699</v>
      </c>
      <c r="H1139" s="6" t="s">
        <v>20</v>
      </c>
      <c r="I1139" s="5" t="s">
        <v>21</v>
      </c>
      <c r="J1139" s="4" t="s">
        <v>22</v>
      </c>
      <c r="K1139" s="2" t="s">
        <v>23</v>
      </c>
      <c r="L1139" s="6" t="s">
        <v>24</v>
      </c>
      <c r="M1139" s="5" t="s">
        <v>25</v>
      </c>
      <c r="N1139" s="3" t="s">
        <v>26</v>
      </c>
      <c r="O1139" s="5">
        <v>2</v>
      </c>
      <c r="P1139" s="3" t="s">
        <v>23</v>
      </c>
      <c r="Q1139" s="5"/>
    </row>
    <row r="1140" spans="1:17" ht="170.5">
      <c r="A1140" s="5">
        <v>1135</v>
      </c>
      <c r="B1140" s="6" t="s">
        <v>16</v>
      </c>
      <c r="C1140" s="5" t="str">
        <f>HYPERLINK("http://data.overheid.nl/data/dataset/nis-bevroren-versie-nationaal-wegen-bestand-wegen-wegvakken","NIS bevroren versie: Nationaal Wegen Bestand Wegen wegvakken")</f>
        <v>NIS bevroren versie: Nationaal Wegen Bestand Wegen wegvakken</v>
      </c>
      <c r="D1140" s="6" t="s">
        <v>17</v>
      </c>
      <c r="E1140" s="5" t="s">
        <v>18</v>
      </c>
      <c r="F1140" s="6" t="s">
        <v>813</v>
      </c>
      <c r="G1140" s="5" t="s">
        <v>699</v>
      </c>
      <c r="H1140" s="6" t="s">
        <v>28</v>
      </c>
      <c r="I1140" s="5" t="s">
        <v>21</v>
      </c>
      <c r="J1140" s="4" t="s">
        <v>22</v>
      </c>
      <c r="K1140" s="2" t="s">
        <v>23</v>
      </c>
      <c r="L1140" s="6" t="s">
        <v>24</v>
      </c>
      <c r="M1140" s="5" t="s">
        <v>25</v>
      </c>
      <c r="N1140" s="3" t="s">
        <v>26</v>
      </c>
      <c r="O1140" s="5">
        <v>2</v>
      </c>
      <c r="P1140" s="3" t="s">
        <v>23</v>
      </c>
      <c r="Q1140" s="5"/>
    </row>
    <row r="1141" spans="1:17" ht="170.5">
      <c r="A1141" s="5">
        <v>1136</v>
      </c>
      <c r="B1141" s="6" t="s">
        <v>16</v>
      </c>
      <c r="C1141" s="5" t="str">
        <f>HYPERLINK("http://data.overheid.nl/data/dataset/nis-bevroren-versie-nationaal-wegen-bestand-wegen-hectopunten","NIS bevroren versie: Nationaal Wegen Bestand Wegen hectopunten")</f>
        <v>NIS bevroren versie: Nationaal Wegen Bestand Wegen hectopunten</v>
      </c>
      <c r="D1141" s="6" t="s">
        <v>17</v>
      </c>
      <c r="E1141" s="5" t="s">
        <v>18</v>
      </c>
      <c r="F1141" s="6" t="s">
        <v>813</v>
      </c>
      <c r="G1141" s="5" t="s">
        <v>699</v>
      </c>
      <c r="H1141" s="6" t="s">
        <v>20</v>
      </c>
      <c r="I1141" s="5" t="s">
        <v>21</v>
      </c>
      <c r="J1141" s="4" t="s">
        <v>22</v>
      </c>
      <c r="K1141" s="2" t="s">
        <v>23</v>
      </c>
      <c r="L1141" s="6" t="s">
        <v>24</v>
      </c>
      <c r="M1141" s="5" t="s">
        <v>25</v>
      </c>
      <c r="N1141" s="3" t="s">
        <v>26</v>
      </c>
      <c r="O1141" s="5">
        <v>6</v>
      </c>
      <c r="P1141" s="3" t="s">
        <v>23</v>
      </c>
      <c r="Q1141" s="5"/>
    </row>
    <row r="1142" spans="1:17" ht="139.5">
      <c r="A1142" s="5">
        <v>1137</v>
      </c>
      <c r="B1142" s="6" t="s">
        <v>16</v>
      </c>
      <c r="C1142" s="5" t="str">
        <f>HYPERLINK("http://data.overheid.nl/data/dataset/zeegraskartering","Zeegraskartering")</f>
        <v>Zeegraskartering</v>
      </c>
      <c r="D1142" s="6" t="s">
        <v>17</v>
      </c>
      <c r="E1142" s="5" t="s">
        <v>18</v>
      </c>
      <c r="F1142" s="6" t="s">
        <v>813</v>
      </c>
      <c r="G1142" s="5" t="s">
        <v>700</v>
      </c>
      <c r="H1142" s="6" t="s">
        <v>28</v>
      </c>
      <c r="I1142" s="5" t="s">
        <v>21</v>
      </c>
      <c r="J1142" s="4" t="s">
        <v>22</v>
      </c>
      <c r="K1142" s="2" t="s">
        <v>23</v>
      </c>
      <c r="L1142" s="6" t="s">
        <v>24</v>
      </c>
      <c r="M1142" s="5" t="s">
        <v>25</v>
      </c>
      <c r="N1142" s="3" t="s">
        <v>26</v>
      </c>
      <c r="O1142" s="5">
        <v>154</v>
      </c>
      <c r="P1142" s="3" t="s">
        <v>23</v>
      </c>
      <c r="Q1142" s="5"/>
    </row>
    <row r="1143" spans="1:17" ht="77.5">
      <c r="A1143" s="5">
        <v>1138</v>
      </c>
      <c r="B1143" s="6" t="s">
        <v>16</v>
      </c>
      <c r="C1143" s="5" t="str">
        <f>HYPERLINK("http://data.overheid.nl/data/dataset/waterstaatskaart-van-nederland","Waterstaatskaart van Nederland")</f>
        <v>Waterstaatskaart van Nederland</v>
      </c>
      <c r="D1143" s="6" t="s">
        <v>17</v>
      </c>
      <c r="E1143" s="5" t="s">
        <v>18</v>
      </c>
      <c r="F1143" s="6" t="s">
        <v>813</v>
      </c>
      <c r="G1143" s="5" t="s">
        <v>701</v>
      </c>
      <c r="H1143" s="6" t="s">
        <v>20</v>
      </c>
      <c r="I1143" s="5" t="s">
        <v>21</v>
      </c>
      <c r="J1143" s="4" t="s">
        <v>22</v>
      </c>
      <c r="K1143" s="2" t="s">
        <v>23</v>
      </c>
      <c r="L1143" s="6" t="s">
        <v>24</v>
      </c>
      <c r="M1143" s="5" t="s">
        <v>25</v>
      </c>
      <c r="N1143" s="3" t="s">
        <v>26</v>
      </c>
      <c r="O1143" s="5">
        <v>2</v>
      </c>
      <c r="P1143" s="3" t="s">
        <v>23</v>
      </c>
      <c r="Q1143" s="5"/>
    </row>
    <row r="1144" spans="1:17" ht="62">
      <c r="A1144" s="5">
        <v>1139</v>
      </c>
      <c r="B1144" s="6" t="s">
        <v>16</v>
      </c>
      <c r="C1144" s="5" t="str">
        <f>HYPERLINK("http://data.overheid.nl/data/dataset/overzicht-vlieglijnen-westerschelde-2007","Overzicht vlieglijnen Westerschelde 2007")</f>
        <v>Overzicht vlieglijnen Westerschelde 2007</v>
      </c>
      <c r="D1144" s="6" t="s">
        <v>17</v>
      </c>
      <c r="E1144" s="5" t="s">
        <v>18</v>
      </c>
      <c r="F1144" s="6" t="s">
        <v>813</v>
      </c>
      <c r="G1144" s="5" t="s">
        <v>702</v>
      </c>
      <c r="H1144" s="6" t="s">
        <v>20</v>
      </c>
      <c r="I1144" s="5" t="s">
        <v>21</v>
      </c>
      <c r="J1144" s="4" t="s">
        <v>22</v>
      </c>
      <c r="K1144" s="2" t="s">
        <v>23</v>
      </c>
      <c r="L1144" s="6" t="s">
        <v>24</v>
      </c>
      <c r="M1144" s="5" t="s">
        <v>25</v>
      </c>
      <c r="N1144" s="3" t="s">
        <v>26</v>
      </c>
      <c r="O1144" s="5">
        <v>2</v>
      </c>
      <c r="P1144" s="3" t="s">
        <v>23</v>
      </c>
      <c r="Q1144" s="5"/>
    </row>
    <row r="1145" spans="1:17" ht="46.5">
      <c r="A1145" s="5">
        <v>1140</v>
      </c>
      <c r="B1145" s="6" t="s">
        <v>16</v>
      </c>
      <c r="C1145" s="5" t="str">
        <f>HYPERLINK("http://data.overheid.nl/data/dataset/westerschelde-2010-orthofotomozaiek-falsecolor-ecw","Westerschelde_2010_Orthofotomozaiek_Falsecolor_ECW")</f>
        <v>Westerschelde_2010_Orthofotomozaiek_Falsecolor_ECW</v>
      </c>
      <c r="D1145" s="6" t="s">
        <v>17</v>
      </c>
      <c r="E1145" s="5" t="s">
        <v>18</v>
      </c>
      <c r="F1145" s="6" t="s">
        <v>813</v>
      </c>
      <c r="G1145" s="5" t="s">
        <v>703</v>
      </c>
      <c r="H1145" s="6" t="s">
        <v>20</v>
      </c>
      <c r="I1145" s="5" t="s">
        <v>21</v>
      </c>
      <c r="J1145" s="4" t="s">
        <v>22</v>
      </c>
      <c r="K1145" s="2" t="s">
        <v>23</v>
      </c>
      <c r="L1145" s="6" t="s">
        <v>24</v>
      </c>
      <c r="M1145" s="5" t="s">
        <v>25</v>
      </c>
      <c r="N1145" s="3" t="s">
        <v>26</v>
      </c>
      <c r="O1145" s="5">
        <v>2</v>
      </c>
      <c r="P1145" s="3" t="s">
        <v>23</v>
      </c>
      <c r="Q1145" s="5"/>
    </row>
    <row r="1146" spans="1:17" ht="31">
      <c r="A1146" s="5">
        <v>1141</v>
      </c>
      <c r="B1146" s="6" t="s">
        <v>16</v>
      </c>
      <c r="C1146" s="5" t="str">
        <f>HYPERLINK("http://data.overheid.nl/data/dataset/volkerak-zoommeer-2010","Volkerak-Zoommeer 2010")</f>
        <v>Volkerak-Zoommeer 2010</v>
      </c>
      <c r="D1146" s="6" t="s">
        <v>17</v>
      </c>
      <c r="E1146" s="5" t="s">
        <v>18</v>
      </c>
      <c r="F1146" s="6" t="s">
        <v>813</v>
      </c>
      <c r="G1146" s="5" t="s">
        <v>704</v>
      </c>
      <c r="H1146" s="6" t="s">
        <v>20</v>
      </c>
      <c r="I1146" s="5" t="s">
        <v>21</v>
      </c>
      <c r="J1146" s="4" t="s">
        <v>22</v>
      </c>
      <c r="K1146" s="2" t="s">
        <v>23</v>
      </c>
      <c r="L1146" s="6" t="s">
        <v>24</v>
      </c>
      <c r="M1146" s="5" t="s">
        <v>25</v>
      </c>
      <c r="N1146" s="3" t="s">
        <v>26</v>
      </c>
      <c r="O1146" s="5">
        <v>2</v>
      </c>
      <c r="P1146" s="3" t="s">
        <v>23</v>
      </c>
      <c r="Q1146" s="5"/>
    </row>
    <row r="1147" spans="1:17" ht="46.5">
      <c r="A1147" s="5">
        <v>1142</v>
      </c>
      <c r="B1147" s="6" t="s">
        <v>16</v>
      </c>
      <c r="C1147" s="5" t="str">
        <f>HYPERLINK("http://data.overheid.nl/data/dataset/rws-kunstwerken-0910","RWS kunstwerken 0910")</f>
        <v>RWS kunstwerken 0910</v>
      </c>
      <c r="D1147" s="6" t="s">
        <v>17</v>
      </c>
      <c r="E1147" s="5" t="s">
        <v>18</v>
      </c>
      <c r="F1147" s="6" t="s">
        <v>813</v>
      </c>
      <c r="G1147" s="5" t="s">
        <v>82</v>
      </c>
      <c r="H1147" s="6" t="s">
        <v>20</v>
      </c>
      <c r="I1147" s="5" t="s">
        <v>21</v>
      </c>
      <c r="J1147" s="4" t="s">
        <v>22</v>
      </c>
      <c r="K1147" s="2" t="s">
        <v>23</v>
      </c>
      <c r="L1147" s="6" t="s">
        <v>24</v>
      </c>
      <c r="M1147" s="5" t="s">
        <v>25</v>
      </c>
      <c r="N1147" s="3" t="s">
        <v>26</v>
      </c>
      <c r="O1147" s="5">
        <v>2</v>
      </c>
      <c r="P1147" s="3" t="s">
        <v>23</v>
      </c>
      <c r="Q1147" s="5"/>
    </row>
    <row r="1148" spans="1:17" ht="62">
      <c r="A1148" s="5">
        <v>1143</v>
      </c>
      <c r="B1148" s="6" t="s">
        <v>16</v>
      </c>
      <c r="C1148" s="5" t="str">
        <f>HYPERLINK("http://data.overheid.nl/data/dataset/rws-dijkringlijnen-0910","RWS dijkringlijnen 0910")</f>
        <v>RWS dijkringlijnen 0910</v>
      </c>
      <c r="D1148" s="6" t="s">
        <v>17</v>
      </c>
      <c r="E1148" s="5" t="s">
        <v>18</v>
      </c>
      <c r="F1148" s="6" t="s">
        <v>813</v>
      </c>
      <c r="G1148" s="5" t="s">
        <v>83</v>
      </c>
      <c r="H1148" s="6" t="s">
        <v>20</v>
      </c>
      <c r="I1148" s="5" t="s">
        <v>21</v>
      </c>
      <c r="J1148" s="4" t="s">
        <v>22</v>
      </c>
      <c r="K1148" s="2" t="s">
        <v>23</v>
      </c>
      <c r="L1148" s="6" t="s">
        <v>24</v>
      </c>
      <c r="M1148" s="5" t="s">
        <v>25</v>
      </c>
      <c r="N1148" s="3" t="s">
        <v>26</v>
      </c>
      <c r="O1148" s="5">
        <v>2</v>
      </c>
      <c r="P1148" s="3" t="s">
        <v>23</v>
      </c>
      <c r="Q1148" s="5"/>
    </row>
    <row r="1149" spans="1:17" ht="62">
      <c r="A1149" s="5">
        <v>1144</v>
      </c>
      <c r="B1149" s="6" t="s">
        <v>16</v>
      </c>
      <c r="C1149" s="5" t="str">
        <f>HYPERLINK("http://data.overheid.nl/data/dataset/rws-dijkringgebieden-0910","RWS dijkringgebieden 0910")</f>
        <v>RWS dijkringgebieden 0910</v>
      </c>
      <c r="D1149" s="6" t="s">
        <v>17</v>
      </c>
      <c r="E1149" s="5" t="s">
        <v>18</v>
      </c>
      <c r="F1149" s="6" t="s">
        <v>813</v>
      </c>
      <c r="G1149" s="5" t="s">
        <v>112</v>
      </c>
      <c r="H1149" s="6" t="s">
        <v>20</v>
      </c>
      <c r="I1149" s="5" t="s">
        <v>21</v>
      </c>
      <c r="J1149" s="4" t="s">
        <v>22</v>
      </c>
      <c r="K1149" s="2" t="s">
        <v>23</v>
      </c>
      <c r="L1149" s="6" t="s">
        <v>24</v>
      </c>
      <c r="M1149" s="5" t="s">
        <v>25</v>
      </c>
      <c r="N1149" s="3" t="s">
        <v>26</v>
      </c>
      <c r="O1149" s="5">
        <v>2</v>
      </c>
      <c r="P1149" s="3" t="s">
        <v>23</v>
      </c>
      <c r="Q1149" s="5"/>
    </row>
    <row r="1150" spans="1:17" ht="139.5">
      <c r="A1150" s="5">
        <v>1145</v>
      </c>
      <c r="B1150" s="6" t="s">
        <v>16</v>
      </c>
      <c r="C1150" s="5" t="str">
        <f>HYPERLINK("http://data.overheid.nl/data/dataset/rivierkaart-devassen2","Rivierkaart devassen2")</f>
        <v>Rivierkaart devassen2</v>
      </c>
      <c r="D1150" s="6" t="s">
        <v>17</v>
      </c>
      <c r="E1150" s="5" t="s">
        <v>18</v>
      </c>
      <c r="F1150" s="6" t="s">
        <v>813</v>
      </c>
      <c r="G1150" s="5" t="s">
        <v>705</v>
      </c>
      <c r="H1150" s="6" t="s">
        <v>20</v>
      </c>
      <c r="I1150" s="5" t="s">
        <v>21</v>
      </c>
      <c r="J1150" s="4" t="s">
        <v>22</v>
      </c>
      <c r="K1150" s="2" t="s">
        <v>23</v>
      </c>
      <c r="L1150" s="6" t="s">
        <v>24</v>
      </c>
      <c r="M1150" s="5" t="s">
        <v>25</v>
      </c>
      <c r="N1150" s="3" t="s">
        <v>26</v>
      </c>
      <c r="O1150" s="5">
        <v>3</v>
      </c>
      <c r="P1150" s="3" t="s">
        <v>23</v>
      </c>
      <c r="Q1150" s="5"/>
    </row>
    <row r="1151" spans="1:17" ht="155">
      <c r="A1151" s="5">
        <v>1146</v>
      </c>
      <c r="B1151" s="6" t="s">
        <v>16</v>
      </c>
      <c r="C1151" s="5" t="str">
        <f>HYPERLINK("http://data.overheid.nl/data/dataset/rivierkaart-devassen1","Rivierkaart devassen1")</f>
        <v>Rivierkaart devassen1</v>
      </c>
      <c r="D1151" s="6" t="s">
        <v>17</v>
      </c>
      <c r="E1151" s="5" t="s">
        <v>18</v>
      </c>
      <c r="F1151" s="6" t="s">
        <v>813</v>
      </c>
      <c r="G1151" s="5" t="s">
        <v>706</v>
      </c>
      <c r="H1151" s="6" t="s">
        <v>20</v>
      </c>
      <c r="I1151" s="5" t="s">
        <v>21</v>
      </c>
      <c r="J1151" s="4" t="s">
        <v>22</v>
      </c>
      <c r="K1151" s="2" t="s">
        <v>23</v>
      </c>
      <c r="L1151" s="6" t="s">
        <v>24</v>
      </c>
      <c r="M1151" s="5" t="s">
        <v>25</v>
      </c>
      <c r="N1151" s="3" t="s">
        <v>26</v>
      </c>
      <c r="O1151" s="5">
        <v>3</v>
      </c>
      <c r="P1151" s="3" t="s">
        <v>23</v>
      </c>
      <c r="Q1151" s="5"/>
    </row>
    <row r="1152" spans="1:17" ht="139.5">
      <c r="A1152" s="5">
        <v>1147</v>
      </c>
      <c r="B1152" s="6" t="s">
        <v>16</v>
      </c>
      <c r="C1152" s="5" t="str">
        <f>HYPERLINK("http://data.overheid.nl/data/dataset/rivierkaart-2e-herziening-serie-4-1950-1961","Rivierkaart 2e herziening serie 4_1950_1961")</f>
        <v>Rivierkaart 2e herziening serie 4_1950_1961</v>
      </c>
      <c r="D1152" s="6" t="s">
        <v>17</v>
      </c>
      <c r="E1152" s="5" t="s">
        <v>18</v>
      </c>
      <c r="F1152" s="6" t="s">
        <v>813</v>
      </c>
      <c r="G1152" s="5" t="s">
        <v>707</v>
      </c>
      <c r="H1152" s="6" t="s">
        <v>20</v>
      </c>
      <c r="I1152" s="5" t="s">
        <v>21</v>
      </c>
      <c r="J1152" s="4" t="s">
        <v>22</v>
      </c>
      <c r="K1152" s="2" t="s">
        <v>23</v>
      </c>
      <c r="L1152" s="6" t="s">
        <v>24</v>
      </c>
      <c r="M1152" s="5" t="s">
        <v>25</v>
      </c>
      <c r="N1152" s="3" t="s">
        <v>26</v>
      </c>
      <c r="O1152" s="5">
        <v>3</v>
      </c>
      <c r="P1152" s="3" t="s">
        <v>23</v>
      </c>
      <c r="Q1152" s="5"/>
    </row>
    <row r="1153" spans="1:17" ht="139.5">
      <c r="A1153" s="5">
        <v>1148</v>
      </c>
      <c r="B1153" s="6" t="s">
        <v>16</v>
      </c>
      <c r="C1153" s="5" t="str">
        <f>HYPERLINK("http://data.overheid.nl/data/dataset/rivierkaart-2e-herziening-serie-4","Rivierkaart 2e herziening serie 4")</f>
        <v>Rivierkaart 2e herziening serie 4</v>
      </c>
      <c r="D1153" s="6" t="s">
        <v>17</v>
      </c>
      <c r="E1153" s="5" t="s">
        <v>18</v>
      </c>
      <c r="F1153" s="6" t="s">
        <v>813</v>
      </c>
      <c r="G1153" s="5" t="s">
        <v>707</v>
      </c>
      <c r="H1153" s="6" t="s">
        <v>20</v>
      </c>
      <c r="I1153" s="5" t="s">
        <v>21</v>
      </c>
      <c r="J1153" s="4" t="s">
        <v>22</v>
      </c>
      <c r="K1153" s="2" t="s">
        <v>23</v>
      </c>
      <c r="L1153" s="6" t="s">
        <v>24</v>
      </c>
      <c r="M1153" s="5" t="s">
        <v>25</v>
      </c>
      <c r="N1153" s="3" t="s">
        <v>26</v>
      </c>
      <c r="O1153" s="5">
        <v>3</v>
      </c>
      <c r="P1153" s="3" t="s">
        <v>23</v>
      </c>
      <c r="Q1153" s="5"/>
    </row>
    <row r="1154" spans="1:17" ht="155">
      <c r="A1154" s="5">
        <v>1149</v>
      </c>
      <c r="B1154" s="6" t="s">
        <v>16</v>
      </c>
      <c r="C1154" s="5" t="str">
        <f>HYPERLINK("http://data.overheid.nl/data/dataset/rivierkaart-2e-herziening-serie-3","Rivierkaart 2e herziening serie 3")</f>
        <v>Rivierkaart 2e herziening serie 3</v>
      </c>
      <c r="D1154" s="6" t="s">
        <v>17</v>
      </c>
      <c r="E1154" s="5" t="s">
        <v>18</v>
      </c>
      <c r="F1154" s="6" t="s">
        <v>813</v>
      </c>
      <c r="G1154" s="5" t="s">
        <v>708</v>
      </c>
      <c r="H1154" s="6" t="s">
        <v>20</v>
      </c>
      <c r="I1154" s="5" t="s">
        <v>21</v>
      </c>
      <c r="J1154" s="4" t="s">
        <v>22</v>
      </c>
      <c r="K1154" s="2" t="s">
        <v>23</v>
      </c>
      <c r="L1154" s="6" t="s">
        <v>24</v>
      </c>
      <c r="M1154" s="5" t="s">
        <v>25</v>
      </c>
      <c r="N1154" s="3" t="s">
        <v>26</v>
      </c>
      <c r="O1154" s="5">
        <v>3</v>
      </c>
      <c r="P1154" s="3" t="s">
        <v>23</v>
      </c>
      <c r="Q1154" s="5"/>
    </row>
    <row r="1155" spans="1:17" ht="217">
      <c r="A1155" s="5">
        <v>1150</v>
      </c>
      <c r="B1155" s="6" t="s">
        <v>16</v>
      </c>
      <c r="C1155" s="5" t="str">
        <f>HYPERLINK("http://data.overheid.nl/data/dataset/rivierkaart-2e-herziening-serie-2-uitgave","Rivierkaart 2e herziening serie 2 uitgave")</f>
        <v>Rivierkaart 2e herziening serie 2 uitgave</v>
      </c>
      <c r="D1155" s="6" t="s">
        <v>17</v>
      </c>
      <c r="E1155" s="5" t="s">
        <v>18</v>
      </c>
      <c r="F1155" s="6" t="s">
        <v>813</v>
      </c>
      <c r="G1155" s="5" t="s">
        <v>709</v>
      </c>
      <c r="H1155" s="6" t="s">
        <v>20</v>
      </c>
      <c r="I1155" s="5" t="s">
        <v>21</v>
      </c>
      <c r="J1155" s="4" t="s">
        <v>22</v>
      </c>
      <c r="K1155" s="2" t="s">
        <v>23</v>
      </c>
      <c r="L1155" s="6" t="s">
        <v>24</v>
      </c>
      <c r="M1155" s="5" t="s">
        <v>25</v>
      </c>
      <c r="N1155" s="3" t="s">
        <v>26</v>
      </c>
      <c r="O1155" s="5">
        <v>3</v>
      </c>
      <c r="P1155" s="3" t="s">
        <v>23</v>
      </c>
      <c r="Q1155" s="5"/>
    </row>
    <row r="1156" spans="1:17" ht="155">
      <c r="A1156" s="5">
        <v>1151</v>
      </c>
      <c r="B1156" s="6" t="s">
        <v>16</v>
      </c>
      <c r="C1156" s="5" t="str">
        <f>HYPERLINK("http://data.overheid.nl/data/dataset/rivierkaart-2e-herziening-serie-2a-uitgave","Rivierkaart 2e herziening serie 2a uitgave")</f>
        <v>Rivierkaart 2e herziening serie 2a uitgave</v>
      </c>
      <c r="D1156" s="6" t="s">
        <v>17</v>
      </c>
      <c r="E1156" s="5" t="s">
        <v>18</v>
      </c>
      <c r="F1156" s="6" t="s">
        <v>813</v>
      </c>
      <c r="G1156" s="5" t="s">
        <v>710</v>
      </c>
      <c r="H1156" s="6" t="s">
        <v>20</v>
      </c>
      <c r="I1156" s="5" t="s">
        <v>21</v>
      </c>
      <c r="J1156" s="4" t="s">
        <v>22</v>
      </c>
      <c r="K1156" s="2" t="s">
        <v>23</v>
      </c>
      <c r="L1156" s="6" t="s">
        <v>24</v>
      </c>
      <c r="M1156" s="5" t="s">
        <v>25</v>
      </c>
      <c r="N1156" s="3" t="s">
        <v>26</v>
      </c>
      <c r="O1156" s="5">
        <v>3</v>
      </c>
      <c r="P1156" s="3" t="s">
        <v>23</v>
      </c>
      <c r="Q1156" s="5"/>
    </row>
    <row r="1157" spans="1:17" ht="139.5">
      <c r="A1157" s="5">
        <v>1152</v>
      </c>
      <c r="B1157" s="6" t="s">
        <v>16</v>
      </c>
      <c r="C1157" s="5" t="str">
        <f>HYPERLINK("http://data.overheid.nl/data/dataset/rivierkaart-2e-herziening-serie-2a","Rivierkaart 2e herziening serie 2a")</f>
        <v>Rivierkaart 2e herziening serie 2a</v>
      </c>
      <c r="D1157" s="6" t="s">
        <v>17</v>
      </c>
      <c r="E1157" s="5" t="s">
        <v>18</v>
      </c>
      <c r="F1157" s="6" t="s">
        <v>813</v>
      </c>
      <c r="G1157" s="5" t="s">
        <v>711</v>
      </c>
      <c r="H1157" s="6" t="s">
        <v>20</v>
      </c>
      <c r="I1157" s="5" t="s">
        <v>21</v>
      </c>
      <c r="J1157" s="4" t="s">
        <v>22</v>
      </c>
      <c r="K1157" s="2" t="s">
        <v>23</v>
      </c>
      <c r="L1157" s="6" t="s">
        <v>24</v>
      </c>
      <c r="M1157" s="5" t="s">
        <v>25</v>
      </c>
      <c r="N1157" s="3" t="s">
        <v>26</v>
      </c>
      <c r="O1157" s="5">
        <v>3</v>
      </c>
      <c r="P1157" s="3" t="s">
        <v>23</v>
      </c>
      <c r="Q1157" s="5"/>
    </row>
    <row r="1158" spans="1:17" ht="217">
      <c r="A1158" s="5">
        <v>1153</v>
      </c>
      <c r="B1158" s="6" t="s">
        <v>16</v>
      </c>
      <c r="C1158" s="5" t="str">
        <f>HYPERLINK("http://data.overheid.nl/data/dataset/rivierkaart-2e-herziening-serie-2","Rivierkaart 2e herziening serie 2")</f>
        <v>Rivierkaart 2e herziening serie 2</v>
      </c>
      <c r="D1158" s="6" t="s">
        <v>17</v>
      </c>
      <c r="E1158" s="5" t="s">
        <v>18</v>
      </c>
      <c r="F1158" s="6" t="s">
        <v>813</v>
      </c>
      <c r="G1158" s="5" t="s">
        <v>712</v>
      </c>
      <c r="H1158" s="6" t="s">
        <v>20</v>
      </c>
      <c r="I1158" s="5" t="s">
        <v>21</v>
      </c>
      <c r="J1158" s="4" t="s">
        <v>22</v>
      </c>
      <c r="K1158" s="2" t="s">
        <v>23</v>
      </c>
      <c r="L1158" s="6" t="s">
        <v>24</v>
      </c>
      <c r="M1158" s="5" t="s">
        <v>25</v>
      </c>
      <c r="N1158" s="3" t="s">
        <v>26</v>
      </c>
      <c r="O1158" s="5">
        <v>3</v>
      </c>
      <c r="P1158" s="3" t="s">
        <v>23</v>
      </c>
      <c r="Q1158" s="5"/>
    </row>
    <row r="1159" spans="1:17" ht="186">
      <c r="A1159" s="5">
        <v>1154</v>
      </c>
      <c r="B1159" s="6" t="s">
        <v>16</v>
      </c>
      <c r="C1159" s="5" t="str">
        <f>HYPERLINK("http://data.overheid.nl/data/dataset/rivierkaart-2e-herziening-serie-1-uitgave","Rivierkaart 2e herziening serie 1 uitgave")</f>
        <v>Rivierkaart 2e herziening serie 1 uitgave</v>
      </c>
      <c r="D1159" s="6" t="s">
        <v>17</v>
      </c>
      <c r="E1159" s="5" t="s">
        <v>18</v>
      </c>
      <c r="F1159" s="6" t="s">
        <v>813</v>
      </c>
      <c r="G1159" s="5" t="s">
        <v>713</v>
      </c>
      <c r="H1159" s="6" t="s">
        <v>20</v>
      </c>
      <c r="I1159" s="5" t="s">
        <v>21</v>
      </c>
      <c r="J1159" s="4" t="s">
        <v>22</v>
      </c>
      <c r="K1159" s="2" t="s">
        <v>23</v>
      </c>
      <c r="L1159" s="6" t="s">
        <v>24</v>
      </c>
      <c r="M1159" s="5" t="s">
        <v>25</v>
      </c>
      <c r="N1159" s="3" t="s">
        <v>26</v>
      </c>
      <c r="O1159" s="5">
        <v>3</v>
      </c>
      <c r="P1159" s="3" t="s">
        <v>23</v>
      </c>
      <c r="Q1159" s="5"/>
    </row>
    <row r="1160" spans="1:17" ht="170.5">
      <c r="A1160" s="5">
        <v>1155</v>
      </c>
      <c r="B1160" s="6" t="s">
        <v>16</v>
      </c>
      <c r="C1160" s="5" t="str">
        <f>HYPERLINK("http://data.overheid.nl/data/dataset/rivierkaart-2e-herziening-serie-1","Rivierkaart 2e herziening serie 1")</f>
        <v>Rivierkaart 2e herziening serie 1</v>
      </c>
      <c r="D1160" s="6" t="s">
        <v>17</v>
      </c>
      <c r="E1160" s="5" t="s">
        <v>18</v>
      </c>
      <c r="F1160" s="6" t="s">
        <v>813</v>
      </c>
      <c r="G1160" s="5" t="s">
        <v>714</v>
      </c>
      <c r="H1160" s="6" t="s">
        <v>20</v>
      </c>
      <c r="I1160" s="5" t="s">
        <v>21</v>
      </c>
      <c r="J1160" s="4" t="s">
        <v>22</v>
      </c>
      <c r="K1160" s="2" t="s">
        <v>23</v>
      </c>
      <c r="L1160" s="6" t="s">
        <v>24</v>
      </c>
      <c r="M1160" s="5" t="s">
        <v>25</v>
      </c>
      <c r="N1160" s="3" t="s">
        <v>26</v>
      </c>
      <c r="O1160" s="5">
        <v>3</v>
      </c>
      <c r="P1160" s="3" t="s">
        <v>23</v>
      </c>
      <c r="Q1160" s="5"/>
    </row>
    <row r="1161" spans="1:17" ht="155">
      <c r="A1161" s="5">
        <v>1156</v>
      </c>
      <c r="B1161" s="6" t="s">
        <v>16</v>
      </c>
      <c r="C1161" s="5" t="str">
        <f>HYPERLINK("http://data.overheid.nl/data/dataset/rivierkaart-1e-herziening-serie-8-1915-1924","Rivierkaart 1e herziening serie 8_1915-1924")</f>
        <v>Rivierkaart 1e herziening serie 8_1915-1924</v>
      </c>
      <c r="D1161" s="6" t="s">
        <v>17</v>
      </c>
      <c r="E1161" s="5" t="s">
        <v>18</v>
      </c>
      <c r="F1161" s="6" t="s">
        <v>813</v>
      </c>
      <c r="G1161" s="5" t="s">
        <v>715</v>
      </c>
      <c r="H1161" s="6" t="s">
        <v>20</v>
      </c>
      <c r="I1161" s="5" t="s">
        <v>21</v>
      </c>
      <c r="J1161" s="4" t="s">
        <v>22</v>
      </c>
      <c r="K1161" s="2" t="s">
        <v>23</v>
      </c>
      <c r="L1161" s="6" t="s">
        <v>24</v>
      </c>
      <c r="M1161" s="5" t="s">
        <v>25</v>
      </c>
      <c r="N1161" s="3" t="s">
        <v>26</v>
      </c>
      <c r="O1161" s="5">
        <v>3</v>
      </c>
      <c r="P1161" s="3" t="s">
        <v>23</v>
      </c>
      <c r="Q1161" s="5"/>
    </row>
    <row r="1162" spans="1:17" ht="155">
      <c r="A1162" s="5">
        <v>1157</v>
      </c>
      <c r="B1162" s="6" t="s">
        <v>16</v>
      </c>
      <c r="C1162" s="5" t="str">
        <f>HYPERLINK("http://data.overheid.nl/data/dataset/rivierkaart-1e-herziening-serie-8","Rivierkaart 1e herziening serie 8")</f>
        <v>Rivierkaart 1e herziening serie 8</v>
      </c>
      <c r="D1162" s="6" t="s">
        <v>17</v>
      </c>
      <c r="E1162" s="5" t="s">
        <v>18</v>
      </c>
      <c r="F1162" s="6" t="s">
        <v>813</v>
      </c>
      <c r="G1162" s="5" t="s">
        <v>715</v>
      </c>
      <c r="H1162" s="6" t="s">
        <v>20</v>
      </c>
      <c r="I1162" s="5" t="s">
        <v>21</v>
      </c>
      <c r="J1162" s="4" t="s">
        <v>22</v>
      </c>
      <c r="K1162" s="2" t="s">
        <v>23</v>
      </c>
      <c r="L1162" s="6" t="s">
        <v>24</v>
      </c>
      <c r="M1162" s="5" t="s">
        <v>25</v>
      </c>
      <c r="N1162" s="3" t="s">
        <v>26</v>
      </c>
      <c r="O1162" s="5">
        <v>3</v>
      </c>
      <c r="P1162" s="3" t="s">
        <v>23</v>
      </c>
      <c r="Q1162" s="5"/>
    </row>
    <row r="1163" spans="1:17" ht="124">
      <c r="A1163" s="5">
        <v>1158</v>
      </c>
      <c r="B1163" s="6" t="s">
        <v>16</v>
      </c>
      <c r="C1163" s="5" t="str">
        <f>HYPERLINK("http://data.overheid.nl/data/dataset/rivierkaart-1e-herziening-serie-7","Rivierkaart 1e herziening serie 7")</f>
        <v>Rivierkaart 1e herziening serie 7</v>
      </c>
      <c r="D1163" s="6" t="s">
        <v>17</v>
      </c>
      <c r="E1163" s="5" t="s">
        <v>18</v>
      </c>
      <c r="F1163" s="6" t="s">
        <v>813</v>
      </c>
      <c r="G1163" s="5" t="s">
        <v>716</v>
      </c>
      <c r="H1163" s="6" t="s">
        <v>20</v>
      </c>
      <c r="I1163" s="5" t="s">
        <v>21</v>
      </c>
      <c r="J1163" s="4" t="s">
        <v>22</v>
      </c>
      <c r="K1163" s="2" t="s">
        <v>23</v>
      </c>
      <c r="L1163" s="6" t="s">
        <v>24</v>
      </c>
      <c r="M1163" s="5" t="s">
        <v>25</v>
      </c>
      <c r="N1163" s="3" t="s">
        <v>26</v>
      </c>
      <c r="O1163" s="5">
        <v>3</v>
      </c>
      <c r="P1163" s="3" t="s">
        <v>23</v>
      </c>
      <c r="Q1163" s="5"/>
    </row>
    <row r="1164" spans="1:17" ht="124">
      <c r="A1164" s="5">
        <v>1159</v>
      </c>
      <c r="B1164" s="6" t="s">
        <v>16</v>
      </c>
      <c r="C1164" s="5" t="str">
        <f>HYPERLINK("http://data.overheid.nl/data/dataset/rivierkaart-1e-herziening-serie-6","Rivierkaart 1e herziening serie 6")</f>
        <v>Rivierkaart 1e herziening serie 6</v>
      </c>
      <c r="D1164" s="6" t="s">
        <v>17</v>
      </c>
      <c r="E1164" s="5" t="s">
        <v>18</v>
      </c>
      <c r="F1164" s="6" t="s">
        <v>813</v>
      </c>
      <c r="G1164" s="5" t="s">
        <v>717</v>
      </c>
      <c r="H1164" s="6" t="s">
        <v>20</v>
      </c>
      <c r="I1164" s="5" t="s">
        <v>21</v>
      </c>
      <c r="J1164" s="4" t="s">
        <v>22</v>
      </c>
      <c r="K1164" s="2" t="s">
        <v>23</v>
      </c>
      <c r="L1164" s="6" t="s">
        <v>24</v>
      </c>
      <c r="M1164" s="5" t="s">
        <v>25</v>
      </c>
      <c r="N1164" s="3" t="s">
        <v>26</v>
      </c>
      <c r="O1164" s="5">
        <v>3</v>
      </c>
      <c r="P1164" s="3" t="s">
        <v>23</v>
      </c>
      <c r="Q1164" s="5"/>
    </row>
    <row r="1165" spans="1:17" ht="124">
      <c r="A1165" s="5">
        <v>1160</v>
      </c>
      <c r="B1165" s="6" t="s">
        <v>16</v>
      </c>
      <c r="C1165" s="5" t="str">
        <f>HYPERLINK("http://data.overheid.nl/data/dataset/rivierkaart-1e-herziening-serie-3","Rivierkaart 1e herziening serie 3")</f>
        <v>Rivierkaart 1e herziening serie 3</v>
      </c>
      <c r="D1165" s="6" t="s">
        <v>17</v>
      </c>
      <c r="E1165" s="5" t="s">
        <v>18</v>
      </c>
      <c r="F1165" s="6" t="s">
        <v>813</v>
      </c>
      <c r="G1165" s="5" t="s">
        <v>718</v>
      </c>
      <c r="H1165" s="6" t="s">
        <v>20</v>
      </c>
      <c r="I1165" s="5" t="s">
        <v>21</v>
      </c>
      <c r="J1165" s="4" t="s">
        <v>22</v>
      </c>
      <c r="K1165" s="2" t="s">
        <v>23</v>
      </c>
      <c r="L1165" s="6" t="s">
        <v>24</v>
      </c>
      <c r="M1165" s="5" t="s">
        <v>25</v>
      </c>
      <c r="N1165" s="3" t="s">
        <v>26</v>
      </c>
      <c r="O1165" s="5">
        <v>3</v>
      </c>
      <c r="P1165" s="3" t="s">
        <v>23</v>
      </c>
      <c r="Q1165" s="5"/>
    </row>
    <row r="1166" spans="1:17" ht="186">
      <c r="A1166" s="5">
        <v>1161</v>
      </c>
      <c r="B1166" s="6" t="s">
        <v>16</v>
      </c>
      <c r="C1166" s="5" t="str">
        <f>HYPERLINK("http://data.overheid.nl/data/dataset/rivierkaart-1e-herziening-serie-2-1903-1907","Rivierkaart 1e herziening serie 2_1903_1907")</f>
        <v>Rivierkaart 1e herziening serie 2_1903_1907</v>
      </c>
      <c r="D1166" s="6" t="s">
        <v>17</v>
      </c>
      <c r="E1166" s="5" t="s">
        <v>18</v>
      </c>
      <c r="F1166" s="6" t="s">
        <v>813</v>
      </c>
      <c r="G1166" s="5" t="s">
        <v>719</v>
      </c>
      <c r="H1166" s="6" t="s">
        <v>20</v>
      </c>
      <c r="I1166" s="5" t="s">
        <v>21</v>
      </c>
      <c r="J1166" s="4" t="s">
        <v>22</v>
      </c>
      <c r="K1166" s="2" t="s">
        <v>23</v>
      </c>
      <c r="L1166" s="6" t="s">
        <v>24</v>
      </c>
      <c r="M1166" s="5" t="s">
        <v>25</v>
      </c>
      <c r="N1166" s="3" t="s">
        <v>26</v>
      </c>
      <c r="O1166" s="5">
        <v>3</v>
      </c>
      <c r="P1166" s="3" t="s">
        <v>23</v>
      </c>
      <c r="Q1166" s="5"/>
    </row>
    <row r="1167" spans="1:17" ht="186">
      <c r="A1167" s="5">
        <v>1162</v>
      </c>
      <c r="B1167" s="6" t="s">
        <v>16</v>
      </c>
      <c r="C1167" s="5" t="str">
        <f>HYPERLINK("http://data.overheid.nl/data/dataset/rivierkaart-1e-herziening-serie-2","Rivierkaart 1e herziening serie 2")</f>
        <v>Rivierkaart 1e herziening serie 2</v>
      </c>
      <c r="D1167" s="6" t="s">
        <v>17</v>
      </c>
      <c r="E1167" s="5" t="s">
        <v>18</v>
      </c>
      <c r="F1167" s="6" t="s">
        <v>813</v>
      </c>
      <c r="G1167" s="5" t="s">
        <v>719</v>
      </c>
      <c r="H1167" s="6" t="s">
        <v>20</v>
      </c>
      <c r="I1167" s="5" t="s">
        <v>21</v>
      </c>
      <c r="J1167" s="4" t="s">
        <v>22</v>
      </c>
      <c r="K1167" s="2" t="s">
        <v>23</v>
      </c>
      <c r="L1167" s="6" t="s">
        <v>24</v>
      </c>
      <c r="M1167" s="5" t="s">
        <v>25</v>
      </c>
      <c r="N1167" s="3" t="s">
        <v>26</v>
      </c>
      <c r="O1167" s="5">
        <v>3</v>
      </c>
      <c r="P1167" s="3" t="s">
        <v>23</v>
      </c>
      <c r="Q1167" s="5"/>
    </row>
    <row r="1168" spans="1:17" ht="186">
      <c r="A1168" s="5">
        <v>1163</v>
      </c>
      <c r="B1168" s="6" t="s">
        <v>16</v>
      </c>
      <c r="C1168" s="5" t="str">
        <f>HYPERLINK("http://data.overheid.nl/data/dataset/rivierkaart-1e-herziening-serie-1","Rivierkaart 1e herziening serie 1")</f>
        <v>Rivierkaart 1e herziening serie 1</v>
      </c>
      <c r="D1168" s="6" t="s">
        <v>17</v>
      </c>
      <c r="E1168" s="5" t="s">
        <v>18</v>
      </c>
      <c r="F1168" s="6" t="s">
        <v>813</v>
      </c>
      <c r="G1168" s="5" t="s">
        <v>720</v>
      </c>
      <c r="H1168" s="6" t="s">
        <v>20</v>
      </c>
      <c r="I1168" s="5" t="s">
        <v>21</v>
      </c>
      <c r="J1168" s="4" t="s">
        <v>22</v>
      </c>
      <c r="K1168" s="2" t="s">
        <v>23</v>
      </c>
      <c r="L1168" s="6" t="s">
        <v>24</v>
      </c>
      <c r="M1168" s="5" t="s">
        <v>25</v>
      </c>
      <c r="N1168" s="3" t="s">
        <v>26</v>
      </c>
      <c r="O1168" s="5">
        <v>3</v>
      </c>
      <c r="P1168" s="3" t="s">
        <v>23</v>
      </c>
      <c r="Q1168" s="5"/>
    </row>
    <row r="1169" spans="1:17" ht="186">
      <c r="A1169" s="5">
        <v>1164</v>
      </c>
      <c r="B1169" s="6" t="s">
        <v>16</v>
      </c>
      <c r="C1169" s="5" t="str">
        <f>HYPERLINK("http://data.overheid.nl/data/dataset/rivierkaart-1e-druk-serie-6","Rivierkaart 1e druk serie 6")</f>
        <v>Rivierkaart 1e druk serie 6</v>
      </c>
      <c r="D1169" s="6" t="s">
        <v>17</v>
      </c>
      <c r="E1169" s="5" t="s">
        <v>18</v>
      </c>
      <c r="F1169" s="6" t="s">
        <v>813</v>
      </c>
      <c r="G1169" s="5" t="s">
        <v>721</v>
      </c>
      <c r="H1169" s="6" t="s">
        <v>20</v>
      </c>
      <c r="I1169" s="5" t="s">
        <v>21</v>
      </c>
      <c r="J1169" s="4" t="s">
        <v>22</v>
      </c>
      <c r="K1169" s="2" t="s">
        <v>23</v>
      </c>
      <c r="L1169" s="6" t="s">
        <v>24</v>
      </c>
      <c r="M1169" s="5" t="s">
        <v>25</v>
      </c>
      <c r="N1169" s="3" t="s">
        <v>26</v>
      </c>
      <c r="O1169" s="5">
        <v>3</v>
      </c>
      <c r="P1169" s="3" t="s">
        <v>23</v>
      </c>
      <c r="Q1169" s="5"/>
    </row>
    <row r="1170" spans="1:17" ht="170.5">
      <c r="A1170" s="5">
        <v>1165</v>
      </c>
      <c r="B1170" s="6" t="s">
        <v>16</v>
      </c>
      <c r="C1170" s="5" t="str">
        <f>HYPERLINK("http://data.overheid.nl/data/dataset/rivierkaart-1e-druk-serie-5","Rivierkaart 1e druk serie 5")</f>
        <v>Rivierkaart 1e druk serie 5</v>
      </c>
      <c r="D1170" s="6" t="s">
        <v>17</v>
      </c>
      <c r="E1170" s="5" t="s">
        <v>18</v>
      </c>
      <c r="F1170" s="6" t="s">
        <v>813</v>
      </c>
      <c r="G1170" s="5" t="s">
        <v>722</v>
      </c>
      <c r="H1170" s="6" t="s">
        <v>20</v>
      </c>
      <c r="I1170" s="5" t="s">
        <v>21</v>
      </c>
      <c r="J1170" s="4" t="s">
        <v>22</v>
      </c>
      <c r="K1170" s="2" t="s">
        <v>23</v>
      </c>
      <c r="L1170" s="6" t="s">
        <v>24</v>
      </c>
      <c r="M1170" s="5" t="s">
        <v>25</v>
      </c>
      <c r="N1170" s="3" t="s">
        <v>26</v>
      </c>
      <c r="O1170" s="5">
        <v>3</v>
      </c>
      <c r="P1170" s="3" t="s">
        <v>23</v>
      </c>
      <c r="Q1170" s="5"/>
    </row>
    <row r="1171" spans="1:17" ht="186">
      <c r="A1171" s="5">
        <v>1166</v>
      </c>
      <c r="B1171" s="6" t="s">
        <v>16</v>
      </c>
      <c r="C1171" s="5" t="str">
        <f>HYPERLINK("http://data.overheid.nl/data/dataset/rivierkaart-1e-druk-serie-4","Rivierkaart 1e druk serie 4")</f>
        <v>Rivierkaart 1e druk serie 4</v>
      </c>
      <c r="D1171" s="6" t="s">
        <v>17</v>
      </c>
      <c r="E1171" s="5" t="s">
        <v>18</v>
      </c>
      <c r="F1171" s="6" t="s">
        <v>813</v>
      </c>
      <c r="G1171" s="5" t="s">
        <v>723</v>
      </c>
      <c r="H1171" s="6" t="s">
        <v>20</v>
      </c>
      <c r="I1171" s="5" t="s">
        <v>21</v>
      </c>
      <c r="J1171" s="4" t="s">
        <v>22</v>
      </c>
      <c r="K1171" s="2" t="s">
        <v>23</v>
      </c>
      <c r="L1171" s="6" t="s">
        <v>24</v>
      </c>
      <c r="M1171" s="5" t="s">
        <v>25</v>
      </c>
      <c r="N1171" s="3" t="s">
        <v>26</v>
      </c>
      <c r="O1171" s="5">
        <v>3</v>
      </c>
      <c r="P1171" s="3" t="s">
        <v>23</v>
      </c>
      <c r="Q1171" s="5"/>
    </row>
    <row r="1172" spans="1:17" ht="186">
      <c r="A1172" s="5">
        <v>1167</v>
      </c>
      <c r="B1172" s="6" t="s">
        <v>16</v>
      </c>
      <c r="C1172" s="5" t="str">
        <f>HYPERLINK("http://data.overheid.nl/data/dataset/rivierkaart-1e-druk-serie-3","Rivierkaart 1e druk serie 3")</f>
        <v>Rivierkaart 1e druk serie 3</v>
      </c>
      <c r="D1172" s="6" t="s">
        <v>17</v>
      </c>
      <c r="E1172" s="5" t="s">
        <v>18</v>
      </c>
      <c r="F1172" s="6" t="s">
        <v>813</v>
      </c>
      <c r="G1172" s="5" t="s">
        <v>724</v>
      </c>
      <c r="H1172" s="6" t="s">
        <v>20</v>
      </c>
      <c r="I1172" s="5" t="s">
        <v>21</v>
      </c>
      <c r="J1172" s="4" t="s">
        <v>22</v>
      </c>
      <c r="K1172" s="2" t="s">
        <v>23</v>
      </c>
      <c r="L1172" s="6" t="s">
        <v>24</v>
      </c>
      <c r="M1172" s="5" t="s">
        <v>25</v>
      </c>
      <c r="N1172" s="3" t="s">
        <v>26</v>
      </c>
      <c r="O1172" s="5">
        <v>3</v>
      </c>
      <c r="P1172" s="3" t="s">
        <v>23</v>
      </c>
      <c r="Q1172" s="5"/>
    </row>
    <row r="1173" spans="1:17" ht="217">
      <c r="A1173" s="5">
        <v>1168</v>
      </c>
      <c r="B1173" s="6" t="s">
        <v>16</v>
      </c>
      <c r="C1173" s="5" t="str">
        <f>HYPERLINK("http://data.overheid.nl/data/dataset/rivierkaart-1e-druk-serie-2","Rivierkaart 1e druk serie 2")</f>
        <v>Rivierkaart 1e druk serie 2</v>
      </c>
      <c r="D1173" s="6" t="s">
        <v>17</v>
      </c>
      <c r="E1173" s="5" t="s">
        <v>18</v>
      </c>
      <c r="F1173" s="6" t="s">
        <v>813</v>
      </c>
      <c r="G1173" s="5" t="s">
        <v>725</v>
      </c>
      <c r="H1173" s="6" t="s">
        <v>20</v>
      </c>
      <c r="I1173" s="5" t="s">
        <v>21</v>
      </c>
      <c r="J1173" s="4" t="s">
        <v>22</v>
      </c>
      <c r="K1173" s="2" t="s">
        <v>23</v>
      </c>
      <c r="L1173" s="6" t="s">
        <v>24</v>
      </c>
      <c r="M1173" s="5" t="s">
        <v>25</v>
      </c>
      <c r="N1173" s="3" t="s">
        <v>26</v>
      </c>
      <c r="O1173" s="5">
        <v>5</v>
      </c>
      <c r="P1173" s="3" t="s">
        <v>23</v>
      </c>
      <c r="Q1173" s="5"/>
    </row>
    <row r="1174" spans="1:17" ht="77.5">
      <c r="A1174" s="5">
        <v>1169</v>
      </c>
      <c r="B1174" s="6" t="s">
        <v>16</v>
      </c>
      <c r="C1174" s="5" t="str">
        <f>HYPERLINK("http://data.overheid.nl/data/dataset/overzicht-vlieglijnen-wadden-2008","Overzicht vlieglijnen Wadden 2008")</f>
        <v>Overzicht vlieglijnen Wadden 2008</v>
      </c>
      <c r="D1174" s="6" t="s">
        <v>17</v>
      </c>
      <c r="E1174" s="5" t="s">
        <v>18</v>
      </c>
      <c r="F1174" s="6" t="s">
        <v>813</v>
      </c>
      <c r="G1174" s="5" t="s">
        <v>726</v>
      </c>
      <c r="H1174" s="6" t="s">
        <v>20</v>
      </c>
      <c r="I1174" s="5" t="s">
        <v>21</v>
      </c>
      <c r="J1174" s="4" t="s">
        <v>22</v>
      </c>
      <c r="K1174" s="2" t="s">
        <v>23</v>
      </c>
      <c r="L1174" s="6" t="s">
        <v>24</v>
      </c>
      <c r="M1174" s="5" t="s">
        <v>25</v>
      </c>
      <c r="N1174" s="3" t="s">
        <v>26</v>
      </c>
      <c r="O1174" s="5">
        <v>2</v>
      </c>
      <c r="P1174" s="3" t="s">
        <v>23</v>
      </c>
      <c r="Q1174" s="5"/>
    </row>
    <row r="1175" spans="1:17" ht="77.5">
      <c r="A1175" s="5">
        <v>1170</v>
      </c>
      <c r="B1175" s="6" t="s">
        <v>16</v>
      </c>
      <c r="C1175" s="5" t="str">
        <f>HYPERLINK("http://data.overheid.nl/data/dataset/overzicht-vlieglijnen-wadden-2007","Overzicht vlieglijnen Wadden 2007")</f>
        <v>Overzicht vlieglijnen Wadden 2007</v>
      </c>
      <c r="D1175" s="6" t="s">
        <v>17</v>
      </c>
      <c r="E1175" s="5" t="s">
        <v>18</v>
      </c>
      <c r="F1175" s="6" t="s">
        <v>813</v>
      </c>
      <c r="G1175" s="5" t="s">
        <v>727</v>
      </c>
      <c r="H1175" s="6" t="s">
        <v>20</v>
      </c>
      <c r="I1175" s="5" t="s">
        <v>21</v>
      </c>
      <c r="J1175" s="4" t="s">
        <v>22</v>
      </c>
      <c r="K1175" s="2" t="s">
        <v>23</v>
      </c>
      <c r="L1175" s="6" t="s">
        <v>24</v>
      </c>
      <c r="M1175" s="5" t="s">
        <v>25</v>
      </c>
      <c r="N1175" s="3" t="s">
        <v>26</v>
      </c>
      <c r="O1175" s="5">
        <v>2</v>
      </c>
      <c r="P1175" s="3" t="s">
        <v>23</v>
      </c>
      <c r="Q1175" s="5"/>
    </row>
    <row r="1176" spans="1:17" ht="62">
      <c r="A1176" s="5">
        <v>1171</v>
      </c>
      <c r="B1176" s="6" t="s">
        <v>16</v>
      </c>
      <c r="C1176" s="5" t="str">
        <f>HYPERLINK("http://data.overheid.nl/data/dataset/overzicht-vlieglijnen-wadden-2004","Overzicht vlieglijnen Wadden 2004")</f>
        <v>Overzicht vlieglijnen Wadden 2004</v>
      </c>
      <c r="D1176" s="6" t="s">
        <v>17</v>
      </c>
      <c r="E1176" s="5" t="s">
        <v>18</v>
      </c>
      <c r="F1176" s="6" t="s">
        <v>813</v>
      </c>
      <c r="G1176" s="5" t="s">
        <v>728</v>
      </c>
      <c r="H1176" s="6" t="s">
        <v>20</v>
      </c>
      <c r="I1176" s="5" t="s">
        <v>21</v>
      </c>
      <c r="J1176" s="4" t="s">
        <v>22</v>
      </c>
      <c r="K1176" s="2" t="s">
        <v>23</v>
      </c>
      <c r="L1176" s="6" t="s">
        <v>24</v>
      </c>
      <c r="M1176" s="5" t="s">
        <v>25</v>
      </c>
      <c r="N1176" s="3" t="s">
        <v>26</v>
      </c>
      <c r="O1176" s="5">
        <v>2</v>
      </c>
      <c r="P1176" s="3" t="s">
        <v>23</v>
      </c>
      <c r="Q1176" s="5"/>
    </row>
    <row r="1177" spans="1:17" ht="77.5">
      <c r="A1177" s="5">
        <v>1172</v>
      </c>
      <c r="B1177" s="6" t="s">
        <v>16</v>
      </c>
      <c r="C1177" s="5" t="str">
        <f>HYPERLINK("http://data.overheid.nl/data/dataset/overzicht-vlieglijnen-voordelta-2008","Overzicht vlieglijnen Voordelta 2008")</f>
        <v>Overzicht vlieglijnen Voordelta 2008</v>
      </c>
      <c r="D1177" s="6" t="s">
        <v>17</v>
      </c>
      <c r="E1177" s="5" t="s">
        <v>18</v>
      </c>
      <c r="F1177" s="6" t="s">
        <v>813</v>
      </c>
      <c r="G1177" s="5" t="s">
        <v>726</v>
      </c>
      <c r="H1177" s="6" t="s">
        <v>20</v>
      </c>
      <c r="I1177" s="5" t="s">
        <v>21</v>
      </c>
      <c r="J1177" s="4" t="s">
        <v>22</v>
      </c>
      <c r="K1177" s="2" t="s">
        <v>23</v>
      </c>
      <c r="L1177" s="6" t="s">
        <v>24</v>
      </c>
      <c r="M1177" s="5" t="s">
        <v>25</v>
      </c>
      <c r="N1177" s="3" t="s">
        <v>26</v>
      </c>
      <c r="O1177" s="5">
        <v>2</v>
      </c>
      <c r="P1177" s="3" t="s">
        <v>23</v>
      </c>
      <c r="Q1177" s="5"/>
    </row>
    <row r="1178" spans="1:17" ht="77.5">
      <c r="A1178" s="5">
        <v>1173</v>
      </c>
      <c r="B1178" s="6" t="s">
        <v>16</v>
      </c>
      <c r="C1178" s="5" t="str">
        <f>HYPERLINK("http://data.overheid.nl/data/dataset/overzicht-vlieglijnen-voordelta-2007","Overzicht vlieglijnen Voordelta 2007")</f>
        <v>Overzicht vlieglijnen Voordelta 2007</v>
      </c>
      <c r="D1178" s="6" t="s">
        <v>17</v>
      </c>
      <c r="E1178" s="5" t="s">
        <v>18</v>
      </c>
      <c r="F1178" s="6" t="s">
        <v>813</v>
      </c>
      <c r="G1178" s="5" t="s">
        <v>729</v>
      </c>
      <c r="H1178" s="6" t="s">
        <v>20</v>
      </c>
      <c r="I1178" s="5" t="s">
        <v>21</v>
      </c>
      <c r="J1178" s="4" t="s">
        <v>22</v>
      </c>
      <c r="K1178" s="2" t="s">
        <v>23</v>
      </c>
      <c r="L1178" s="6" t="s">
        <v>24</v>
      </c>
      <c r="M1178" s="5" t="s">
        <v>25</v>
      </c>
      <c r="N1178" s="3" t="s">
        <v>26</v>
      </c>
      <c r="O1178" s="5">
        <v>2</v>
      </c>
      <c r="P1178" s="3" t="s">
        <v>23</v>
      </c>
      <c r="Q1178" s="5"/>
    </row>
    <row r="1179" spans="1:17" ht="62">
      <c r="A1179" s="5">
        <v>1174</v>
      </c>
      <c r="B1179" s="6" t="s">
        <v>16</v>
      </c>
      <c r="C1179" s="5" t="str">
        <f>HYPERLINK("http://data.overheid.nl/data/dataset/overzicht-vlieglijnen-platen-wadden-2009","Overzicht vlieglijnen platen Wadden 2009")</f>
        <v>Overzicht vlieglijnen platen Wadden 2009</v>
      </c>
      <c r="D1179" s="6" t="s">
        <v>17</v>
      </c>
      <c r="E1179" s="5" t="s">
        <v>18</v>
      </c>
      <c r="F1179" s="6" t="s">
        <v>813</v>
      </c>
      <c r="G1179" s="5" t="s">
        <v>730</v>
      </c>
      <c r="H1179" s="6" t="s">
        <v>20</v>
      </c>
      <c r="I1179" s="5" t="s">
        <v>21</v>
      </c>
      <c r="J1179" s="4" t="s">
        <v>22</v>
      </c>
      <c r="K1179" s="2" t="s">
        <v>23</v>
      </c>
      <c r="L1179" s="6" t="s">
        <v>24</v>
      </c>
      <c r="M1179" s="5" t="s">
        <v>25</v>
      </c>
      <c r="N1179" s="3" t="s">
        <v>26</v>
      </c>
      <c r="O1179" s="5">
        <v>2</v>
      </c>
      <c r="P1179" s="3" t="s">
        <v>23</v>
      </c>
      <c r="Q1179" s="5"/>
    </row>
    <row r="1180" spans="1:17" ht="62">
      <c r="A1180" s="5">
        <v>1175</v>
      </c>
      <c r="B1180" s="6" t="s">
        <v>16</v>
      </c>
      <c r="C1180" s="5" t="str">
        <f>HYPERLINK("http://data.overheid.nl/data/dataset/overzicht-vlieglijnen-oosterschelde-2010","Overzicht vlieglijnen Oosterschelde 2010")</f>
        <v>Overzicht vlieglijnen Oosterschelde 2010</v>
      </c>
      <c r="D1180" s="6" t="s">
        <v>17</v>
      </c>
      <c r="E1180" s="5" t="s">
        <v>18</v>
      </c>
      <c r="F1180" s="6" t="s">
        <v>813</v>
      </c>
      <c r="G1180" s="5" t="s">
        <v>731</v>
      </c>
      <c r="H1180" s="6" t="s">
        <v>20</v>
      </c>
      <c r="I1180" s="5" t="s">
        <v>21</v>
      </c>
      <c r="J1180" s="4" t="s">
        <v>22</v>
      </c>
      <c r="K1180" s="2" t="s">
        <v>23</v>
      </c>
      <c r="L1180" s="6" t="s">
        <v>24</v>
      </c>
      <c r="M1180" s="5" t="s">
        <v>25</v>
      </c>
      <c r="N1180" s="3" t="s">
        <v>26</v>
      </c>
      <c r="O1180" s="5">
        <v>2</v>
      </c>
      <c r="P1180" s="3" t="s">
        <v>23</v>
      </c>
      <c r="Q1180" s="5"/>
    </row>
    <row r="1181" spans="1:17" ht="62">
      <c r="A1181" s="5">
        <v>1176</v>
      </c>
      <c r="B1181" s="6" t="s">
        <v>16</v>
      </c>
      <c r="C1181" s="5" t="str">
        <f>HYPERLINK("http://data.overheid.nl/data/dataset/overzicht-vlieglijnen-noordwaard-2010","Overzicht vlieglijnen Noordwaard 2010")</f>
        <v>Overzicht vlieglijnen Noordwaard 2010</v>
      </c>
      <c r="D1181" s="6" t="s">
        <v>17</v>
      </c>
      <c r="E1181" s="5" t="s">
        <v>18</v>
      </c>
      <c r="F1181" s="6" t="s">
        <v>813</v>
      </c>
      <c r="G1181" s="5" t="s">
        <v>732</v>
      </c>
      <c r="H1181" s="6" t="s">
        <v>20</v>
      </c>
      <c r="I1181" s="5" t="s">
        <v>21</v>
      </c>
      <c r="J1181" s="4" t="s">
        <v>22</v>
      </c>
      <c r="K1181" s="2" t="s">
        <v>23</v>
      </c>
      <c r="L1181" s="6" t="s">
        <v>24</v>
      </c>
      <c r="M1181" s="5" t="s">
        <v>25</v>
      </c>
      <c r="N1181" s="3" t="s">
        <v>26</v>
      </c>
      <c r="O1181" s="5">
        <v>2</v>
      </c>
      <c r="P1181" s="3" t="s">
        <v>23</v>
      </c>
      <c r="Q1181" s="5"/>
    </row>
    <row r="1182" spans="1:17" ht="77.5">
      <c r="A1182" s="5">
        <v>1177</v>
      </c>
      <c r="B1182" s="6" t="s">
        <v>16</v>
      </c>
      <c r="C1182" s="5" t="str">
        <f>HYPERLINK("http://data.overheid.nl/data/dataset/overzicht-vlieglijnen-kust2-2006","Overzicht vlieglijnen kust2 2006")</f>
        <v>Overzicht vlieglijnen kust2 2006</v>
      </c>
      <c r="D1182" s="6" t="s">
        <v>17</v>
      </c>
      <c r="E1182" s="5" t="s">
        <v>18</v>
      </c>
      <c r="F1182" s="6" t="s">
        <v>813</v>
      </c>
      <c r="G1182" s="5" t="s">
        <v>733</v>
      </c>
      <c r="H1182" s="6" t="s">
        <v>20</v>
      </c>
      <c r="I1182" s="5" t="s">
        <v>21</v>
      </c>
      <c r="J1182" s="4" t="s">
        <v>22</v>
      </c>
      <c r="K1182" s="2" t="s">
        <v>23</v>
      </c>
      <c r="L1182" s="6" t="s">
        <v>24</v>
      </c>
      <c r="M1182" s="5" t="s">
        <v>25</v>
      </c>
      <c r="N1182" s="3" t="s">
        <v>26</v>
      </c>
      <c r="O1182" s="5">
        <v>2</v>
      </c>
      <c r="P1182" s="3" t="s">
        <v>23</v>
      </c>
      <c r="Q1182" s="5"/>
    </row>
    <row r="1183" spans="1:17" ht="77.5">
      <c r="A1183" s="5">
        <v>1178</v>
      </c>
      <c r="B1183" s="6" t="s">
        <v>16</v>
      </c>
      <c r="C1183" s="5" t="str">
        <f>HYPERLINK("http://data.overheid.nl/data/dataset/overzicht-vlieglijnen-kust-2009","Overzicht vlieglijnen kust 2009")</f>
        <v>Overzicht vlieglijnen kust 2009</v>
      </c>
      <c r="D1183" s="6" t="s">
        <v>17</v>
      </c>
      <c r="E1183" s="5" t="s">
        <v>18</v>
      </c>
      <c r="F1183" s="6" t="s">
        <v>813</v>
      </c>
      <c r="G1183" s="5" t="s">
        <v>734</v>
      </c>
      <c r="H1183" s="6" t="s">
        <v>20</v>
      </c>
      <c r="I1183" s="5" t="s">
        <v>21</v>
      </c>
      <c r="J1183" s="4" t="s">
        <v>22</v>
      </c>
      <c r="K1183" s="2" t="s">
        <v>23</v>
      </c>
      <c r="L1183" s="6" t="s">
        <v>24</v>
      </c>
      <c r="M1183" s="5" t="s">
        <v>25</v>
      </c>
      <c r="N1183" s="3" t="s">
        <v>26</v>
      </c>
      <c r="O1183" s="5">
        <v>2</v>
      </c>
      <c r="P1183" s="3" t="s">
        <v>23</v>
      </c>
      <c r="Q1183" s="5"/>
    </row>
    <row r="1184" spans="1:17" ht="62">
      <c r="A1184" s="5">
        <v>1179</v>
      </c>
      <c r="B1184" s="6" t="s">
        <v>16</v>
      </c>
      <c r="C1184" s="5" t="str">
        <f>HYPERLINK("http://data.overheid.nl/data/dataset/overzicht-vlieglijnen-kust-2008","Overzicht vlieglijnen kust 2008")</f>
        <v>Overzicht vlieglijnen kust 2008</v>
      </c>
      <c r="D1184" s="6" t="s">
        <v>17</v>
      </c>
      <c r="E1184" s="5" t="s">
        <v>18</v>
      </c>
      <c r="F1184" s="6" t="s">
        <v>813</v>
      </c>
      <c r="G1184" s="5" t="s">
        <v>735</v>
      </c>
      <c r="H1184" s="6" t="s">
        <v>20</v>
      </c>
      <c r="I1184" s="5" t="s">
        <v>21</v>
      </c>
      <c r="J1184" s="4" t="s">
        <v>22</v>
      </c>
      <c r="K1184" s="2" t="s">
        <v>23</v>
      </c>
      <c r="L1184" s="6" t="s">
        <v>24</v>
      </c>
      <c r="M1184" s="5" t="s">
        <v>25</v>
      </c>
      <c r="N1184" s="3" t="s">
        <v>26</v>
      </c>
      <c r="O1184" s="5">
        <v>2</v>
      </c>
      <c r="P1184" s="3" t="s">
        <v>23</v>
      </c>
      <c r="Q1184" s="5"/>
    </row>
    <row r="1185" spans="1:17" ht="62">
      <c r="A1185" s="5">
        <v>1180</v>
      </c>
      <c r="B1185" s="6" t="s">
        <v>16</v>
      </c>
      <c r="C1185" s="5" t="str">
        <f>HYPERLINK("http://data.overheid.nl/data/dataset/overzicht-vlieglijnen-kust-2007","Overzicht vlieglijnen kust 2007")</f>
        <v>Overzicht vlieglijnen kust 2007</v>
      </c>
      <c r="D1185" s="6" t="s">
        <v>17</v>
      </c>
      <c r="E1185" s="5" t="s">
        <v>18</v>
      </c>
      <c r="F1185" s="6" t="s">
        <v>813</v>
      </c>
      <c r="G1185" s="5" t="s">
        <v>736</v>
      </c>
      <c r="H1185" s="6" t="s">
        <v>20</v>
      </c>
      <c r="I1185" s="5" t="s">
        <v>21</v>
      </c>
      <c r="J1185" s="4" t="s">
        <v>22</v>
      </c>
      <c r="K1185" s="2" t="s">
        <v>23</v>
      </c>
      <c r="L1185" s="6" t="s">
        <v>24</v>
      </c>
      <c r="M1185" s="5" t="s">
        <v>25</v>
      </c>
      <c r="N1185" s="3" t="s">
        <v>26</v>
      </c>
      <c r="O1185" s="5">
        <v>2</v>
      </c>
      <c r="P1185" s="3" t="s">
        <v>23</v>
      </c>
      <c r="Q1185" s="5"/>
    </row>
    <row r="1186" spans="1:17" ht="62">
      <c r="A1186" s="5">
        <v>1181</v>
      </c>
      <c r="B1186" s="6" t="s">
        <v>16</v>
      </c>
      <c r="C1186" s="5" t="str">
        <f>HYPERLINK("http://data.overheid.nl/data/dataset/overzicht-vlieglijnen-kust-2006","Overzicht vlieglijnen kust 2006")</f>
        <v>Overzicht vlieglijnen kust 2006</v>
      </c>
      <c r="D1186" s="6" t="s">
        <v>17</v>
      </c>
      <c r="E1186" s="5" t="s">
        <v>18</v>
      </c>
      <c r="F1186" s="6" t="s">
        <v>813</v>
      </c>
      <c r="G1186" s="5" t="s">
        <v>737</v>
      </c>
      <c r="H1186" s="6" t="s">
        <v>20</v>
      </c>
      <c r="I1186" s="5" t="s">
        <v>21</v>
      </c>
      <c r="J1186" s="4" t="s">
        <v>22</v>
      </c>
      <c r="K1186" s="2" t="s">
        <v>23</v>
      </c>
      <c r="L1186" s="6" t="s">
        <v>24</v>
      </c>
      <c r="M1186" s="5" t="s">
        <v>25</v>
      </c>
      <c r="N1186" s="3" t="s">
        <v>26</v>
      </c>
      <c r="O1186" s="5">
        <v>4</v>
      </c>
      <c r="P1186" s="3" t="s">
        <v>23</v>
      </c>
      <c r="Q1186" s="5"/>
    </row>
    <row r="1187" spans="1:17" ht="77.5">
      <c r="A1187" s="5">
        <v>1182</v>
      </c>
      <c r="B1187" s="6" t="s">
        <v>16</v>
      </c>
      <c r="C1187" s="5" t="str">
        <f>HYPERLINK("http://data.overheid.nl/data/dataset/overzicht-vlieglijnen-kust-2005","Overzicht vlieglijnen kust 2005")</f>
        <v>Overzicht vlieglijnen kust 2005</v>
      </c>
      <c r="D1187" s="6" t="s">
        <v>17</v>
      </c>
      <c r="E1187" s="5" t="s">
        <v>18</v>
      </c>
      <c r="F1187" s="6" t="s">
        <v>813</v>
      </c>
      <c r="G1187" s="5" t="s">
        <v>738</v>
      </c>
      <c r="H1187" s="6" t="s">
        <v>20</v>
      </c>
      <c r="I1187" s="5" t="s">
        <v>21</v>
      </c>
      <c r="J1187" s="4" t="s">
        <v>22</v>
      </c>
      <c r="K1187" s="2" t="s">
        <v>23</v>
      </c>
      <c r="L1187" s="6" t="s">
        <v>24</v>
      </c>
      <c r="M1187" s="5" t="s">
        <v>25</v>
      </c>
      <c r="N1187" s="3" t="s">
        <v>26</v>
      </c>
      <c r="O1187" s="5">
        <v>2</v>
      </c>
      <c r="P1187" s="3" t="s">
        <v>23</v>
      </c>
      <c r="Q1187" s="5"/>
    </row>
    <row r="1188" spans="1:17" ht="77.5">
      <c r="A1188" s="5">
        <v>1183</v>
      </c>
      <c r="B1188" s="6" t="s">
        <v>16</v>
      </c>
      <c r="C1188" s="5" t="str">
        <f>HYPERLINK("http://data.overheid.nl/data/dataset/overzicht-vlieglijnen-kust-2004","Overzicht vlieglijnen kust 2004")</f>
        <v>Overzicht vlieglijnen kust 2004</v>
      </c>
      <c r="D1188" s="6" t="s">
        <v>17</v>
      </c>
      <c r="E1188" s="5" t="s">
        <v>18</v>
      </c>
      <c r="F1188" s="6" t="s">
        <v>813</v>
      </c>
      <c r="G1188" s="5" t="s">
        <v>739</v>
      </c>
      <c r="H1188" s="6" t="s">
        <v>20</v>
      </c>
      <c r="I1188" s="5" t="s">
        <v>21</v>
      </c>
      <c r="J1188" s="4" t="s">
        <v>22</v>
      </c>
      <c r="K1188" s="2" t="s">
        <v>23</v>
      </c>
      <c r="L1188" s="6" t="s">
        <v>24</v>
      </c>
      <c r="M1188" s="5" t="s">
        <v>25</v>
      </c>
      <c r="N1188" s="3" t="s">
        <v>26</v>
      </c>
      <c r="O1188" s="5">
        <v>2</v>
      </c>
      <c r="P1188" s="3" t="s">
        <v>23</v>
      </c>
      <c r="Q1188" s="5"/>
    </row>
    <row r="1189" spans="1:17" ht="263.5">
      <c r="A1189" s="5">
        <v>1184</v>
      </c>
      <c r="B1189" s="6" t="s">
        <v>16</v>
      </c>
      <c r="C1189" s="5" t="str">
        <f>HYPERLINK("http://data.overheid.nl/data/dataset/hoogtebestand-westerschelde-2008","Hoogtebestand Westerschelde 2008")</f>
        <v>Hoogtebestand Westerschelde 2008</v>
      </c>
      <c r="D1189" s="6" t="s">
        <v>17</v>
      </c>
      <c r="E1189" s="5" t="s">
        <v>18</v>
      </c>
      <c r="F1189" s="6" t="s">
        <v>813</v>
      </c>
      <c r="G1189" s="5" t="s">
        <v>740</v>
      </c>
      <c r="H1189" s="6" t="s">
        <v>20</v>
      </c>
      <c r="I1189" s="5" t="s">
        <v>21</v>
      </c>
      <c r="J1189" s="4" t="s">
        <v>22</v>
      </c>
      <c r="K1189" s="2" t="s">
        <v>23</v>
      </c>
      <c r="L1189" s="6" t="s">
        <v>24</v>
      </c>
      <c r="M1189" s="5" t="s">
        <v>25</v>
      </c>
      <c r="N1189" s="3" t="s">
        <v>26</v>
      </c>
      <c r="O1189" s="5">
        <v>2</v>
      </c>
      <c r="P1189" s="3" t="s">
        <v>23</v>
      </c>
      <c r="Q1189" s="5"/>
    </row>
    <row r="1190" spans="1:17" ht="263.5">
      <c r="A1190" s="5">
        <v>1185</v>
      </c>
      <c r="B1190" s="6" t="s">
        <v>16</v>
      </c>
      <c r="C1190" s="5" t="str">
        <f>HYPERLINK("http://data.overheid.nl/data/dataset/hoogtebestand-westerschelde-2007","Hoogtebestand Westerschelde 2007")</f>
        <v>Hoogtebestand Westerschelde 2007</v>
      </c>
      <c r="D1190" s="6" t="s">
        <v>17</v>
      </c>
      <c r="E1190" s="5" t="s">
        <v>18</v>
      </c>
      <c r="F1190" s="6" t="s">
        <v>813</v>
      </c>
      <c r="G1190" s="5" t="s">
        <v>740</v>
      </c>
      <c r="H1190" s="6" t="s">
        <v>20</v>
      </c>
      <c r="I1190" s="5" t="s">
        <v>21</v>
      </c>
      <c r="J1190" s="4" t="s">
        <v>22</v>
      </c>
      <c r="K1190" s="2" t="s">
        <v>23</v>
      </c>
      <c r="L1190" s="6" t="s">
        <v>24</v>
      </c>
      <c r="M1190" s="5" t="s">
        <v>25</v>
      </c>
      <c r="N1190" s="3" t="s">
        <v>26</v>
      </c>
      <c r="O1190" s="5">
        <v>2</v>
      </c>
      <c r="P1190" s="3" t="s">
        <v>23</v>
      </c>
      <c r="Q1190" s="5"/>
    </row>
    <row r="1191" spans="1:17" ht="263.5">
      <c r="A1191" s="5">
        <v>1186</v>
      </c>
      <c r="B1191" s="6" t="s">
        <v>16</v>
      </c>
      <c r="C1191" s="5" t="str">
        <f>HYPERLINK("http://data.overheid.nl/data/dataset/hoogtebestand-westerschelde-2006","Hoogtebestand Westerschelde 2006")</f>
        <v>Hoogtebestand Westerschelde 2006</v>
      </c>
      <c r="D1191" s="6" t="s">
        <v>17</v>
      </c>
      <c r="E1191" s="5" t="s">
        <v>18</v>
      </c>
      <c r="F1191" s="6" t="s">
        <v>813</v>
      </c>
      <c r="G1191" s="5" t="s">
        <v>740</v>
      </c>
      <c r="H1191" s="6" t="s">
        <v>20</v>
      </c>
      <c r="I1191" s="5" t="s">
        <v>21</v>
      </c>
      <c r="J1191" s="4" t="s">
        <v>22</v>
      </c>
      <c r="K1191" s="2" t="s">
        <v>23</v>
      </c>
      <c r="L1191" s="6" t="s">
        <v>24</v>
      </c>
      <c r="M1191" s="5" t="s">
        <v>25</v>
      </c>
      <c r="N1191" s="3" t="s">
        <v>26</v>
      </c>
      <c r="O1191" s="5">
        <v>2</v>
      </c>
      <c r="P1191" s="3" t="s">
        <v>23</v>
      </c>
      <c r="Q1191" s="5"/>
    </row>
    <row r="1192" spans="1:17" ht="263.5">
      <c r="A1192" s="5">
        <v>1187</v>
      </c>
      <c r="B1192" s="6" t="s">
        <v>16</v>
      </c>
      <c r="C1192" s="5" t="str">
        <f>HYPERLINK("http://data.overheid.nl/data/dataset/hoogtebestand-westerschelde-2004","Hoogtebestand Westerschelde 2004")</f>
        <v>Hoogtebestand Westerschelde 2004</v>
      </c>
      <c r="D1192" s="6" t="s">
        <v>17</v>
      </c>
      <c r="E1192" s="5" t="s">
        <v>18</v>
      </c>
      <c r="F1192" s="6" t="s">
        <v>813</v>
      </c>
      <c r="G1192" s="5" t="s">
        <v>741</v>
      </c>
      <c r="H1192" s="6" t="s">
        <v>20</v>
      </c>
      <c r="I1192" s="5" t="s">
        <v>21</v>
      </c>
      <c r="J1192" s="4" t="s">
        <v>22</v>
      </c>
      <c r="K1192" s="2" t="s">
        <v>23</v>
      </c>
      <c r="L1192" s="6" t="s">
        <v>24</v>
      </c>
      <c r="M1192" s="5" t="s">
        <v>25</v>
      </c>
      <c r="N1192" s="3" t="s">
        <v>26</v>
      </c>
      <c r="O1192" s="5">
        <v>2</v>
      </c>
      <c r="P1192" s="3" t="s">
        <v>23</v>
      </c>
      <c r="Q1192" s="5"/>
    </row>
    <row r="1193" spans="1:17" ht="232.5">
      <c r="A1193" s="5">
        <v>1188</v>
      </c>
      <c r="B1193" s="6" t="s">
        <v>16</v>
      </c>
      <c r="C1193" s="5" t="str">
        <f>HYPERLINK("http://data.overheid.nl/data/dataset/hoogtebestand-wadden-2007","Hoogtebestand Wadden 2007")</f>
        <v>Hoogtebestand Wadden 2007</v>
      </c>
      <c r="D1193" s="6" t="s">
        <v>17</v>
      </c>
      <c r="E1193" s="5" t="s">
        <v>18</v>
      </c>
      <c r="F1193" s="6" t="s">
        <v>813</v>
      </c>
      <c r="G1193" s="5" t="s">
        <v>742</v>
      </c>
      <c r="H1193" s="6" t="s">
        <v>20</v>
      </c>
      <c r="I1193" s="5" t="s">
        <v>21</v>
      </c>
      <c r="J1193" s="4" t="s">
        <v>22</v>
      </c>
      <c r="K1193" s="2" t="s">
        <v>23</v>
      </c>
      <c r="L1193" s="6" t="s">
        <v>24</v>
      </c>
      <c r="M1193" s="5" t="s">
        <v>25</v>
      </c>
      <c r="N1193" s="3" t="s">
        <v>26</v>
      </c>
      <c r="O1193" s="5">
        <v>2</v>
      </c>
      <c r="P1193" s="3" t="s">
        <v>23</v>
      </c>
      <c r="Q1193" s="5"/>
    </row>
    <row r="1194" spans="1:17" ht="232.5">
      <c r="A1194" s="5">
        <v>1189</v>
      </c>
      <c r="B1194" s="6" t="s">
        <v>16</v>
      </c>
      <c r="C1194" s="5" t="str">
        <f>HYPERLINK("http://data.overheid.nl/data/dataset/hoogtebestand-wadden-2004","Hoogtebestand Wadden 2004")</f>
        <v>Hoogtebestand Wadden 2004</v>
      </c>
      <c r="D1194" s="6" t="s">
        <v>17</v>
      </c>
      <c r="E1194" s="5" t="s">
        <v>18</v>
      </c>
      <c r="F1194" s="6" t="s">
        <v>813</v>
      </c>
      <c r="G1194" s="5" t="s">
        <v>743</v>
      </c>
      <c r="H1194" s="6" t="s">
        <v>20</v>
      </c>
      <c r="I1194" s="5" t="s">
        <v>21</v>
      </c>
      <c r="J1194" s="4" t="s">
        <v>22</v>
      </c>
      <c r="K1194" s="2" t="s">
        <v>23</v>
      </c>
      <c r="L1194" s="6" t="s">
        <v>24</v>
      </c>
      <c r="M1194" s="5" t="s">
        <v>25</v>
      </c>
      <c r="N1194" s="3" t="s">
        <v>26</v>
      </c>
      <c r="O1194" s="5">
        <v>2</v>
      </c>
      <c r="P1194" s="3" t="s">
        <v>23</v>
      </c>
      <c r="Q1194" s="5"/>
    </row>
    <row r="1195" spans="1:17" ht="232.5">
      <c r="A1195" s="5">
        <v>1190</v>
      </c>
      <c r="B1195" s="6" t="s">
        <v>16</v>
      </c>
      <c r="C1195" s="5" t="str">
        <f>HYPERLINK("http://data.overheid.nl/data/dataset/hoogtebestand-wadden-2002","Hoogtebestand Wadden 2002")</f>
        <v>Hoogtebestand Wadden 2002</v>
      </c>
      <c r="D1195" s="6" t="s">
        <v>17</v>
      </c>
      <c r="E1195" s="5" t="s">
        <v>18</v>
      </c>
      <c r="F1195" s="6" t="s">
        <v>813</v>
      </c>
      <c r="G1195" s="5" t="s">
        <v>744</v>
      </c>
      <c r="H1195" s="6" t="s">
        <v>20</v>
      </c>
      <c r="I1195" s="5" t="s">
        <v>21</v>
      </c>
      <c r="J1195" s="4" t="s">
        <v>22</v>
      </c>
      <c r="K1195" s="2" t="s">
        <v>23</v>
      </c>
      <c r="L1195" s="6" t="s">
        <v>24</v>
      </c>
      <c r="M1195" s="5" t="s">
        <v>25</v>
      </c>
      <c r="N1195" s="3" t="s">
        <v>26</v>
      </c>
      <c r="O1195" s="5">
        <v>2</v>
      </c>
      <c r="P1195" s="3" t="s">
        <v>23</v>
      </c>
      <c r="Q1195" s="5"/>
    </row>
    <row r="1196" spans="1:17" ht="232.5">
      <c r="A1196" s="5">
        <v>1191</v>
      </c>
      <c r="B1196" s="6" t="s">
        <v>16</v>
      </c>
      <c r="C1196" s="5" t="str">
        <f>HYPERLINK("http://data.overheid.nl/data/dataset/hoogtebestand-wadden-2001","Hoogtebestand Wadden 2001")</f>
        <v>Hoogtebestand Wadden 2001</v>
      </c>
      <c r="D1196" s="6" t="s">
        <v>17</v>
      </c>
      <c r="E1196" s="5" t="s">
        <v>18</v>
      </c>
      <c r="F1196" s="6" t="s">
        <v>813</v>
      </c>
      <c r="G1196" s="5" t="s">
        <v>744</v>
      </c>
      <c r="H1196" s="6" t="s">
        <v>20</v>
      </c>
      <c r="I1196" s="5" t="s">
        <v>21</v>
      </c>
      <c r="J1196" s="4" t="s">
        <v>22</v>
      </c>
      <c r="K1196" s="2" t="s">
        <v>23</v>
      </c>
      <c r="L1196" s="6" t="s">
        <v>24</v>
      </c>
      <c r="M1196" s="5" t="s">
        <v>25</v>
      </c>
      <c r="N1196" s="3" t="s">
        <v>26</v>
      </c>
      <c r="O1196" s="5">
        <v>2</v>
      </c>
      <c r="P1196" s="3" t="s">
        <v>23</v>
      </c>
      <c r="Q1196" s="5"/>
    </row>
    <row r="1197" spans="1:17" ht="217">
      <c r="A1197" s="5">
        <v>1192</v>
      </c>
      <c r="B1197" s="6" t="s">
        <v>16</v>
      </c>
      <c r="C1197" s="5" t="str">
        <f>HYPERLINK("http://data.overheid.nl/data/dataset/hoogtebestand-wadden-1996","Hoogtebestand Wadden 1996")</f>
        <v>Hoogtebestand Wadden 1996</v>
      </c>
      <c r="D1197" s="6" t="s">
        <v>17</v>
      </c>
      <c r="E1197" s="5" t="s">
        <v>18</v>
      </c>
      <c r="F1197" s="6" t="s">
        <v>813</v>
      </c>
      <c r="G1197" s="5" t="s">
        <v>745</v>
      </c>
      <c r="H1197" s="6" t="s">
        <v>20</v>
      </c>
      <c r="I1197" s="5" t="s">
        <v>21</v>
      </c>
      <c r="J1197" s="4" t="s">
        <v>22</v>
      </c>
      <c r="K1197" s="2" t="s">
        <v>23</v>
      </c>
      <c r="L1197" s="6" t="s">
        <v>24</v>
      </c>
      <c r="M1197" s="5" t="s">
        <v>25</v>
      </c>
      <c r="N1197" s="3" t="s">
        <v>26</v>
      </c>
      <c r="O1197" s="5">
        <v>2</v>
      </c>
      <c r="P1197" s="3" t="s">
        <v>23</v>
      </c>
      <c r="Q1197" s="5"/>
    </row>
    <row r="1198" spans="1:17" ht="201.5">
      <c r="A1198" s="5">
        <v>1193</v>
      </c>
      <c r="B1198" s="6" t="s">
        <v>16</v>
      </c>
      <c r="C1198" s="5" t="str">
        <f>HYPERLINK("http://data.overheid.nl/data/dataset/hoogtebestand-voordelta-2007","Hoogtebestand Voordelta 2007")</f>
        <v>Hoogtebestand Voordelta 2007</v>
      </c>
      <c r="D1198" s="6" t="s">
        <v>17</v>
      </c>
      <c r="E1198" s="5" t="s">
        <v>18</v>
      </c>
      <c r="F1198" s="6" t="s">
        <v>813</v>
      </c>
      <c r="G1198" s="5" t="s">
        <v>746</v>
      </c>
      <c r="H1198" s="6" t="s">
        <v>20</v>
      </c>
      <c r="I1198" s="5" t="s">
        <v>21</v>
      </c>
      <c r="J1198" s="4" t="s">
        <v>22</v>
      </c>
      <c r="K1198" s="2" t="s">
        <v>23</v>
      </c>
      <c r="L1198" s="6" t="s">
        <v>24</v>
      </c>
      <c r="M1198" s="5" t="s">
        <v>25</v>
      </c>
      <c r="N1198" s="3" t="s">
        <v>26</v>
      </c>
      <c r="O1198" s="5">
        <v>2</v>
      </c>
      <c r="P1198" s="3" t="s">
        <v>23</v>
      </c>
      <c r="Q1198" s="5"/>
    </row>
    <row r="1199" spans="1:17" ht="279">
      <c r="A1199" s="5">
        <v>1194</v>
      </c>
      <c r="B1199" s="6" t="s">
        <v>16</v>
      </c>
      <c r="C1199" s="5" t="str">
        <f>HYPERLINK("http://data.overheid.nl/data/dataset/hoogtebestand-oosterschelde-2007","Hoogtebestand Oosterschelde 2007")</f>
        <v>Hoogtebestand Oosterschelde 2007</v>
      </c>
      <c r="D1199" s="6" t="s">
        <v>17</v>
      </c>
      <c r="E1199" s="5" t="s">
        <v>18</v>
      </c>
      <c r="F1199" s="6" t="s">
        <v>813</v>
      </c>
      <c r="G1199" s="5" t="s">
        <v>747</v>
      </c>
      <c r="H1199" s="6" t="s">
        <v>20</v>
      </c>
      <c r="I1199" s="5" t="s">
        <v>21</v>
      </c>
      <c r="J1199" s="4" t="s">
        <v>22</v>
      </c>
      <c r="K1199" s="2" t="s">
        <v>23</v>
      </c>
      <c r="L1199" s="6" t="s">
        <v>24</v>
      </c>
      <c r="M1199" s="5" t="s">
        <v>25</v>
      </c>
      <c r="N1199" s="3" t="s">
        <v>26</v>
      </c>
      <c r="O1199" s="5">
        <v>2</v>
      </c>
      <c r="P1199" s="3" t="s">
        <v>23</v>
      </c>
      <c r="Q1199" s="5"/>
    </row>
    <row r="1200" spans="1:17" ht="232.5">
      <c r="A1200" s="5">
        <v>1195</v>
      </c>
      <c r="B1200" s="6" t="s">
        <v>16</v>
      </c>
      <c r="C1200" s="5" t="str">
        <f>HYPERLINK("http://data.overheid.nl/data/dataset/hoogtebestand-oosterschelde-2001","Hoogtebestand Oosterschelde 2001")</f>
        <v>Hoogtebestand Oosterschelde 2001</v>
      </c>
      <c r="D1200" s="6" t="s">
        <v>17</v>
      </c>
      <c r="E1200" s="5" t="s">
        <v>18</v>
      </c>
      <c r="F1200" s="6" t="s">
        <v>813</v>
      </c>
      <c r="G1200" s="5" t="s">
        <v>748</v>
      </c>
      <c r="H1200" s="6" t="s">
        <v>20</v>
      </c>
      <c r="I1200" s="5" t="s">
        <v>21</v>
      </c>
      <c r="J1200" s="4" t="s">
        <v>22</v>
      </c>
      <c r="K1200" s="2" t="s">
        <v>23</v>
      </c>
      <c r="L1200" s="6" t="s">
        <v>24</v>
      </c>
      <c r="M1200" s="5" t="s">
        <v>25</v>
      </c>
      <c r="N1200" s="3" t="s">
        <v>26</v>
      </c>
      <c r="O1200" s="5">
        <v>2</v>
      </c>
      <c r="P1200" s="3" t="s">
        <v>23</v>
      </c>
      <c r="Q1200" s="5"/>
    </row>
    <row r="1201" spans="1:17" ht="248">
      <c r="A1201" s="5">
        <v>1196</v>
      </c>
      <c r="B1201" s="6" t="s">
        <v>16</v>
      </c>
      <c r="C1201" s="5" t="str">
        <f>HYPERLINK("http://data.overheid.nl/data/dataset/hoogtebestand-kust-2009","Hoogtebestand kust 2009")</f>
        <v>Hoogtebestand kust 2009</v>
      </c>
      <c r="D1201" s="6" t="s">
        <v>17</v>
      </c>
      <c r="E1201" s="5" t="s">
        <v>18</v>
      </c>
      <c r="F1201" s="6" t="s">
        <v>813</v>
      </c>
      <c r="G1201" s="5" t="s">
        <v>168</v>
      </c>
      <c r="H1201" s="6" t="s">
        <v>20</v>
      </c>
      <c r="I1201" s="5" t="s">
        <v>21</v>
      </c>
      <c r="J1201" s="4" t="s">
        <v>22</v>
      </c>
      <c r="K1201" s="2" t="s">
        <v>23</v>
      </c>
      <c r="L1201" s="6" t="s">
        <v>24</v>
      </c>
      <c r="M1201" s="5" t="s">
        <v>25</v>
      </c>
      <c r="N1201" s="3" t="s">
        <v>26</v>
      </c>
      <c r="O1201" s="5">
        <v>2</v>
      </c>
      <c r="P1201" s="3" t="s">
        <v>23</v>
      </c>
      <c r="Q1201" s="5"/>
    </row>
    <row r="1202" spans="1:17" ht="248">
      <c r="A1202" s="5">
        <v>1197</v>
      </c>
      <c r="B1202" s="6" t="s">
        <v>16</v>
      </c>
      <c r="C1202" s="5" t="str">
        <f>HYPERLINK("http://data.overheid.nl/data/dataset/hoogtebestand-kust-2007","Hoogtebestand Kust 2007")</f>
        <v>Hoogtebestand Kust 2007</v>
      </c>
      <c r="D1202" s="6" t="s">
        <v>17</v>
      </c>
      <c r="E1202" s="5" t="s">
        <v>18</v>
      </c>
      <c r="F1202" s="6" t="s">
        <v>813</v>
      </c>
      <c r="G1202" s="5" t="s">
        <v>749</v>
      </c>
      <c r="H1202" s="6" t="s">
        <v>20</v>
      </c>
      <c r="I1202" s="5" t="s">
        <v>21</v>
      </c>
      <c r="J1202" s="4" t="s">
        <v>22</v>
      </c>
      <c r="K1202" s="2" t="s">
        <v>23</v>
      </c>
      <c r="L1202" s="6" t="s">
        <v>24</v>
      </c>
      <c r="M1202" s="5" t="s">
        <v>25</v>
      </c>
      <c r="N1202" s="3" t="s">
        <v>26</v>
      </c>
      <c r="O1202" s="5">
        <v>2</v>
      </c>
      <c r="P1202" s="3" t="s">
        <v>23</v>
      </c>
      <c r="Q1202" s="5"/>
    </row>
    <row r="1203" spans="1:17" ht="248">
      <c r="A1203" s="5">
        <v>1198</v>
      </c>
      <c r="B1203" s="6" t="s">
        <v>16</v>
      </c>
      <c r="C1203" s="5" t="str">
        <f>HYPERLINK("http://data.overheid.nl/data/dataset/hoogtebestand-kust-2006","Hoogtebestand Kust 2006")</f>
        <v>Hoogtebestand Kust 2006</v>
      </c>
      <c r="D1203" s="6" t="s">
        <v>17</v>
      </c>
      <c r="E1203" s="5" t="s">
        <v>18</v>
      </c>
      <c r="F1203" s="6" t="s">
        <v>813</v>
      </c>
      <c r="G1203" s="5" t="s">
        <v>749</v>
      </c>
      <c r="H1203" s="6" t="s">
        <v>20</v>
      </c>
      <c r="I1203" s="5" t="s">
        <v>21</v>
      </c>
      <c r="J1203" s="4" t="s">
        <v>22</v>
      </c>
      <c r="K1203" s="2" t="s">
        <v>23</v>
      </c>
      <c r="L1203" s="6" t="s">
        <v>24</v>
      </c>
      <c r="M1203" s="5" t="s">
        <v>25</v>
      </c>
      <c r="N1203" s="3" t="s">
        <v>26</v>
      </c>
      <c r="O1203" s="5">
        <v>4</v>
      </c>
      <c r="P1203" s="3" t="s">
        <v>23</v>
      </c>
      <c r="Q1203" s="5"/>
    </row>
    <row r="1204" spans="1:17" ht="248">
      <c r="A1204" s="5">
        <v>1199</v>
      </c>
      <c r="B1204" s="6" t="s">
        <v>16</v>
      </c>
      <c r="C1204" s="5" t="str">
        <f>HYPERLINK("http://data.overheid.nl/data/dataset/hoogtebestand-kust-2005","Hoogtebestand Kust 2005")</f>
        <v>Hoogtebestand Kust 2005</v>
      </c>
      <c r="D1204" s="6" t="s">
        <v>17</v>
      </c>
      <c r="E1204" s="5" t="s">
        <v>18</v>
      </c>
      <c r="F1204" s="6" t="s">
        <v>813</v>
      </c>
      <c r="G1204" s="5" t="s">
        <v>749</v>
      </c>
      <c r="H1204" s="6" t="s">
        <v>20</v>
      </c>
      <c r="I1204" s="5" t="s">
        <v>21</v>
      </c>
      <c r="J1204" s="4" t="s">
        <v>22</v>
      </c>
      <c r="K1204" s="2" t="s">
        <v>23</v>
      </c>
      <c r="L1204" s="6" t="s">
        <v>24</v>
      </c>
      <c r="M1204" s="5" t="s">
        <v>25</v>
      </c>
      <c r="N1204" s="3" t="s">
        <v>26</v>
      </c>
      <c r="O1204" s="5">
        <v>2</v>
      </c>
      <c r="P1204" s="3" t="s">
        <v>23</v>
      </c>
      <c r="Q1204" s="5"/>
    </row>
    <row r="1205" spans="1:17" ht="232.5">
      <c r="A1205" s="5">
        <v>1200</v>
      </c>
      <c r="B1205" s="6" t="s">
        <v>16</v>
      </c>
      <c r="C1205" s="5" t="str">
        <f>HYPERLINK("http://data.overheid.nl/data/dataset/hoogtebestand-kust-2004","Hoogtebestand Kust 2004")</f>
        <v>Hoogtebestand Kust 2004</v>
      </c>
      <c r="D1205" s="6" t="s">
        <v>17</v>
      </c>
      <c r="E1205" s="5" t="s">
        <v>18</v>
      </c>
      <c r="F1205" s="6" t="s">
        <v>813</v>
      </c>
      <c r="G1205" s="5" t="s">
        <v>135</v>
      </c>
      <c r="H1205" s="6" t="s">
        <v>20</v>
      </c>
      <c r="I1205" s="5" t="s">
        <v>21</v>
      </c>
      <c r="J1205" s="4" t="s">
        <v>22</v>
      </c>
      <c r="K1205" s="2" t="s">
        <v>23</v>
      </c>
      <c r="L1205" s="6" t="s">
        <v>24</v>
      </c>
      <c r="M1205" s="5" t="s">
        <v>25</v>
      </c>
      <c r="N1205" s="3" t="s">
        <v>26</v>
      </c>
      <c r="O1205" s="5">
        <v>2</v>
      </c>
      <c r="P1205" s="3" t="s">
        <v>23</v>
      </c>
      <c r="Q1205" s="5"/>
    </row>
    <row r="1206" spans="1:17" ht="232.5">
      <c r="A1206" s="5">
        <v>1201</v>
      </c>
      <c r="B1206" s="6" t="s">
        <v>16</v>
      </c>
      <c r="C1206" s="5" t="str">
        <f>HYPERLINK("http://data.overheid.nl/data/dataset/hoogtebestand-kust-2003","Hoogtebestand Kust 2003")</f>
        <v>Hoogtebestand Kust 2003</v>
      </c>
      <c r="D1206" s="6" t="s">
        <v>17</v>
      </c>
      <c r="E1206" s="5" t="s">
        <v>18</v>
      </c>
      <c r="F1206" s="6" t="s">
        <v>813</v>
      </c>
      <c r="G1206" s="5" t="s">
        <v>135</v>
      </c>
      <c r="H1206" s="6" t="s">
        <v>20</v>
      </c>
      <c r="I1206" s="5" t="s">
        <v>21</v>
      </c>
      <c r="J1206" s="4" t="s">
        <v>22</v>
      </c>
      <c r="K1206" s="2" t="s">
        <v>23</v>
      </c>
      <c r="L1206" s="6" t="s">
        <v>24</v>
      </c>
      <c r="M1206" s="5" t="s">
        <v>25</v>
      </c>
      <c r="N1206" s="3" t="s">
        <v>26</v>
      </c>
      <c r="O1206" s="5">
        <v>2</v>
      </c>
      <c r="P1206" s="3" t="s">
        <v>23</v>
      </c>
      <c r="Q1206" s="5"/>
    </row>
    <row r="1207" spans="1:17" ht="232.5">
      <c r="A1207" s="5">
        <v>1202</v>
      </c>
      <c r="B1207" s="6" t="s">
        <v>16</v>
      </c>
      <c r="C1207" s="5" t="str">
        <f>HYPERLINK("http://data.overheid.nl/data/dataset/hoogtebestand-kust-2002","Hoogtebestand Kust 2002")</f>
        <v>Hoogtebestand Kust 2002</v>
      </c>
      <c r="D1207" s="6" t="s">
        <v>17</v>
      </c>
      <c r="E1207" s="5" t="s">
        <v>18</v>
      </c>
      <c r="F1207" s="6" t="s">
        <v>813</v>
      </c>
      <c r="G1207" s="5" t="s">
        <v>135</v>
      </c>
      <c r="H1207" s="6" t="s">
        <v>20</v>
      </c>
      <c r="I1207" s="5" t="s">
        <v>21</v>
      </c>
      <c r="J1207" s="4" t="s">
        <v>22</v>
      </c>
      <c r="K1207" s="2" t="s">
        <v>23</v>
      </c>
      <c r="L1207" s="6" t="s">
        <v>24</v>
      </c>
      <c r="M1207" s="5" t="s">
        <v>25</v>
      </c>
      <c r="N1207" s="3" t="s">
        <v>26</v>
      </c>
      <c r="O1207" s="5">
        <v>2</v>
      </c>
      <c r="P1207" s="3" t="s">
        <v>23</v>
      </c>
      <c r="Q1207" s="5"/>
    </row>
    <row r="1208" spans="1:17" ht="232.5">
      <c r="A1208" s="5">
        <v>1203</v>
      </c>
      <c r="B1208" s="6" t="s">
        <v>16</v>
      </c>
      <c r="C1208" s="5" t="str">
        <f>HYPERLINK("http://data.overheid.nl/data/dataset/hoogtebestand-kust-2001","Hoogtebestand Kust 2001")</f>
        <v>Hoogtebestand Kust 2001</v>
      </c>
      <c r="D1208" s="6" t="s">
        <v>17</v>
      </c>
      <c r="E1208" s="5" t="s">
        <v>18</v>
      </c>
      <c r="F1208" s="6" t="s">
        <v>813</v>
      </c>
      <c r="G1208" s="5" t="s">
        <v>135</v>
      </c>
      <c r="H1208" s="6" t="s">
        <v>20</v>
      </c>
      <c r="I1208" s="5" t="s">
        <v>21</v>
      </c>
      <c r="J1208" s="4" t="s">
        <v>22</v>
      </c>
      <c r="K1208" s="2" t="s">
        <v>23</v>
      </c>
      <c r="L1208" s="6" t="s">
        <v>24</v>
      </c>
      <c r="M1208" s="5" t="s">
        <v>25</v>
      </c>
      <c r="N1208" s="3" t="s">
        <v>26</v>
      </c>
      <c r="O1208" s="5">
        <v>2</v>
      </c>
      <c r="P1208" s="3" t="s">
        <v>23</v>
      </c>
      <c r="Q1208" s="5"/>
    </row>
    <row r="1209" spans="1:17" ht="232.5">
      <c r="A1209" s="5">
        <v>1204</v>
      </c>
      <c r="B1209" s="6" t="s">
        <v>16</v>
      </c>
      <c r="C1209" s="5" t="str">
        <f>HYPERLINK("http://data.overheid.nl/data/dataset/hoogtebestand-kust-2000","Hoogtebestand Kust 2000")</f>
        <v>Hoogtebestand Kust 2000</v>
      </c>
      <c r="D1209" s="6" t="s">
        <v>17</v>
      </c>
      <c r="E1209" s="5" t="s">
        <v>18</v>
      </c>
      <c r="F1209" s="6" t="s">
        <v>813</v>
      </c>
      <c r="G1209" s="5" t="s">
        <v>135</v>
      </c>
      <c r="H1209" s="6" t="s">
        <v>20</v>
      </c>
      <c r="I1209" s="5" t="s">
        <v>21</v>
      </c>
      <c r="J1209" s="4" t="s">
        <v>22</v>
      </c>
      <c r="K1209" s="2" t="s">
        <v>23</v>
      </c>
      <c r="L1209" s="6" t="s">
        <v>24</v>
      </c>
      <c r="M1209" s="5" t="s">
        <v>25</v>
      </c>
      <c r="N1209" s="3" t="s">
        <v>26</v>
      </c>
      <c r="O1209" s="5">
        <v>2</v>
      </c>
      <c r="P1209" s="3" t="s">
        <v>23</v>
      </c>
      <c r="Q1209" s="5"/>
    </row>
    <row r="1210" spans="1:17" ht="232.5">
      <c r="A1210" s="5">
        <v>1205</v>
      </c>
      <c r="B1210" s="6" t="s">
        <v>16</v>
      </c>
      <c r="C1210" s="5" t="str">
        <f>HYPERLINK("http://data.overheid.nl/data/dataset/hoogtebestand-kust-1999","Hoogtebestand Kust 1999")</f>
        <v>Hoogtebestand Kust 1999</v>
      </c>
      <c r="D1210" s="6" t="s">
        <v>17</v>
      </c>
      <c r="E1210" s="5" t="s">
        <v>18</v>
      </c>
      <c r="F1210" s="6" t="s">
        <v>813</v>
      </c>
      <c r="G1210" s="5" t="s">
        <v>135</v>
      </c>
      <c r="H1210" s="6" t="s">
        <v>20</v>
      </c>
      <c r="I1210" s="5" t="s">
        <v>21</v>
      </c>
      <c r="J1210" s="4" t="s">
        <v>22</v>
      </c>
      <c r="K1210" s="2" t="s">
        <v>23</v>
      </c>
      <c r="L1210" s="6" t="s">
        <v>24</v>
      </c>
      <c r="M1210" s="5" t="s">
        <v>25</v>
      </c>
      <c r="N1210" s="3" t="s">
        <v>26</v>
      </c>
      <c r="O1210" s="5">
        <v>2</v>
      </c>
      <c r="P1210" s="3" t="s">
        <v>23</v>
      </c>
      <c r="Q1210" s="5"/>
    </row>
    <row r="1211" spans="1:17" ht="232.5">
      <c r="A1211" s="5">
        <v>1206</v>
      </c>
      <c r="B1211" s="6" t="s">
        <v>16</v>
      </c>
      <c r="C1211" s="5" t="str">
        <f>HYPERLINK("http://data.overheid.nl/data/dataset/hoogtebestand-kust-1998","Hoogtebestand Kust 1998")</f>
        <v>Hoogtebestand Kust 1998</v>
      </c>
      <c r="D1211" s="6" t="s">
        <v>17</v>
      </c>
      <c r="E1211" s="5" t="s">
        <v>18</v>
      </c>
      <c r="F1211" s="6" t="s">
        <v>813</v>
      </c>
      <c r="G1211" s="5" t="s">
        <v>135</v>
      </c>
      <c r="H1211" s="6" t="s">
        <v>20</v>
      </c>
      <c r="I1211" s="5" t="s">
        <v>21</v>
      </c>
      <c r="J1211" s="4" t="s">
        <v>22</v>
      </c>
      <c r="K1211" s="2" t="s">
        <v>23</v>
      </c>
      <c r="L1211" s="6" t="s">
        <v>24</v>
      </c>
      <c r="M1211" s="5" t="s">
        <v>25</v>
      </c>
      <c r="N1211" s="3" t="s">
        <v>26</v>
      </c>
      <c r="O1211" s="5">
        <v>2</v>
      </c>
      <c r="P1211" s="3" t="s">
        <v>23</v>
      </c>
      <c r="Q1211" s="5"/>
    </row>
    <row r="1212" spans="1:17" ht="232.5">
      <c r="A1212" s="5">
        <v>1207</v>
      </c>
      <c r="B1212" s="6" t="s">
        <v>16</v>
      </c>
      <c r="C1212" s="5" t="str">
        <f>HYPERLINK("http://data.overheid.nl/data/dataset/hoogtebestand-kust-1997","Hoogtebestand Kust 1997")</f>
        <v>Hoogtebestand Kust 1997</v>
      </c>
      <c r="D1212" s="6" t="s">
        <v>17</v>
      </c>
      <c r="E1212" s="5" t="s">
        <v>18</v>
      </c>
      <c r="F1212" s="6" t="s">
        <v>813</v>
      </c>
      <c r="G1212" s="5" t="s">
        <v>750</v>
      </c>
      <c r="H1212" s="6" t="s">
        <v>20</v>
      </c>
      <c r="I1212" s="5" t="s">
        <v>21</v>
      </c>
      <c r="J1212" s="4" t="s">
        <v>22</v>
      </c>
      <c r="K1212" s="2" t="s">
        <v>23</v>
      </c>
      <c r="L1212" s="6" t="s">
        <v>24</v>
      </c>
      <c r="M1212" s="5" t="s">
        <v>25</v>
      </c>
      <c r="N1212" s="3" t="s">
        <v>26</v>
      </c>
      <c r="O1212" s="5">
        <v>2</v>
      </c>
      <c r="P1212" s="3" t="s">
        <v>23</v>
      </c>
      <c r="Q1212" s="5"/>
    </row>
    <row r="1213" spans="1:17" ht="310">
      <c r="A1213" s="5">
        <v>1208</v>
      </c>
      <c r="B1213" s="6" t="s">
        <v>16</v>
      </c>
      <c r="C1213" s="5" t="str">
        <f>HYPERLINK("http://data.overheid.nl/data/dataset/historisch-hoogtebestand-nederland-5-meter","Historisch Hoogtebestand Nederland 5 meter")</f>
        <v>Historisch Hoogtebestand Nederland 5 meter</v>
      </c>
      <c r="D1213" s="6" t="s">
        <v>17</v>
      </c>
      <c r="E1213" s="5" t="s">
        <v>18</v>
      </c>
      <c r="F1213" s="6" t="s">
        <v>813</v>
      </c>
      <c r="G1213" s="5" t="s">
        <v>751</v>
      </c>
      <c r="H1213" s="6" t="s">
        <v>28</v>
      </c>
      <c r="I1213" s="5" t="s">
        <v>21</v>
      </c>
      <c r="J1213" s="4" t="s">
        <v>22</v>
      </c>
      <c r="K1213" s="2" t="s">
        <v>23</v>
      </c>
      <c r="L1213" s="6" t="s">
        <v>24</v>
      </c>
      <c r="M1213" s="5" t="s">
        <v>25</v>
      </c>
      <c r="N1213" s="3" t="s">
        <v>26</v>
      </c>
      <c r="O1213" s="5">
        <v>2</v>
      </c>
      <c r="P1213" s="3" t="s">
        <v>23</v>
      </c>
      <c r="Q1213" s="5"/>
    </row>
    <row r="1214" spans="1:17" ht="108.5">
      <c r="A1214" s="5">
        <v>1209</v>
      </c>
      <c r="B1214" s="6" t="s">
        <v>16</v>
      </c>
      <c r="C1214" s="5" t="str">
        <f>HYPERLINK("http://data.overheid.nl/data/dataset/dtb-rivieren-1993-2000-lijnen","DTB Rivieren 1993 2000 lijnen")</f>
        <v>DTB Rivieren 1993 2000 lijnen</v>
      </c>
      <c r="D1214" s="6" t="s">
        <v>17</v>
      </c>
      <c r="E1214" s="5" t="s">
        <v>18</v>
      </c>
      <c r="F1214" s="6" t="s">
        <v>813</v>
      </c>
      <c r="G1214" s="5" t="s">
        <v>752</v>
      </c>
      <c r="H1214" s="6" t="s">
        <v>20</v>
      </c>
      <c r="I1214" s="5" t="s">
        <v>21</v>
      </c>
      <c r="J1214" s="4" t="s">
        <v>22</v>
      </c>
      <c r="K1214" s="2" t="s">
        <v>23</v>
      </c>
      <c r="L1214" s="6" t="s">
        <v>24</v>
      </c>
      <c r="M1214" s="5" t="s">
        <v>25</v>
      </c>
      <c r="N1214" s="3" t="s">
        <v>26</v>
      </c>
      <c r="O1214" s="5">
        <v>2</v>
      </c>
      <c r="P1214" s="3" t="s">
        <v>23</v>
      </c>
      <c r="Q1214" s="5"/>
    </row>
    <row r="1215" spans="1:17" ht="93">
      <c r="A1215" s="5">
        <v>1210</v>
      </c>
      <c r="B1215" s="6" t="s">
        <v>16</v>
      </c>
      <c r="C1215" s="5" t="str">
        <f>HYPERLINK("http://data.overheid.nl/data/dataset/dtb2000-2000-2007-punten","DTB2000 2000 2007 punten")</f>
        <v>DTB2000 2000 2007 punten</v>
      </c>
      <c r="D1215" s="6" t="s">
        <v>17</v>
      </c>
      <c r="E1215" s="5" t="s">
        <v>18</v>
      </c>
      <c r="F1215" s="6" t="s">
        <v>813</v>
      </c>
      <c r="G1215" s="5" t="s">
        <v>753</v>
      </c>
      <c r="H1215" s="6" t="s">
        <v>20</v>
      </c>
      <c r="I1215" s="5" t="s">
        <v>21</v>
      </c>
      <c r="J1215" s="4" t="s">
        <v>22</v>
      </c>
      <c r="K1215" s="2" t="s">
        <v>23</v>
      </c>
      <c r="L1215" s="6" t="s">
        <v>24</v>
      </c>
      <c r="M1215" s="5" t="s">
        <v>25</v>
      </c>
      <c r="N1215" s="3" t="s">
        <v>26</v>
      </c>
      <c r="O1215" s="5">
        <v>2</v>
      </c>
      <c r="P1215" s="3" t="s">
        <v>23</v>
      </c>
      <c r="Q1215" s="5"/>
    </row>
    <row r="1216" spans="1:17" ht="124">
      <c r="A1216" s="5">
        <v>1211</v>
      </c>
      <c r="B1216" s="6" t="s">
        <v>16</v>
      </c>
      <c r="C1216" s="5" t="str">
        <f>HYPERLINK("http://data.overheid.nl/data/dataset/digitaal-topografisch-bestand-wegen-1993-2000-vlakken","Digitaal Topografisch Bestand Wegen 1993-2000 vlakken")</f>
        <v>Digitaal Topografisch Bestand Wegen 1993-2000 vlakken</v>
      </c>
      <c r="D1216" s="6" t="s">
        <v>17</v>
      </c>
      <c r="E1216" s="5" t="s">
        <v>18</v>
      </c>
      <c r="F1216" s="6" t="s">
        <v>813</v>
      </c>
      <c r="G1216" s="5" t="s">
        <v>754</v>
      </c>
      <c r="H1216" s="6" t="s">
        <v>20</v>
      </c>
      <c r="I1216" s="5" t="s">
        <v>21</v>
      </c>
      <c r="J1216" s="4" t="s">
        <v>22</v>
      </c>
      <c r="K1216" s="2" t="s">
        <v>23</v>
      </c>
      <c r="L1216" s="6" t="s">
        <v>24</v>
      </c>
      <c r="M1216" s="5" t="s">
        <v>25</v>
      </c>
      <c r="N1216" s="3" t="s">
        <v>26</v>
      </c>
      <c r="O1216" s="5">
        <v>2</v>
      </c>
      <c r="P1216" s="3" t="s">
        <v>23</v>
      </c>
      <c r="Q1216" s="5"/>
    </row>
    <row r="1217" spans="1:17" ht="124">
      <c r="A1217" s="5">
        <v>1212</v>
      </c>
      <c r="B1217" s="6" t="s">
        <v>16</v>
      </c>
      <c r="C1217" s="5" t="str">
        <f>HYPERLINK("http://data.overheid.nl/data/dataset/digitaal-topografisch-bestand-wegen-1993-2000-punten","Digitaal Topografisch Bestand Wegen 1993-2000 punten")</f>
        <v>Digitaal Topografisch Bestand Wegen 1993-2000 punten</v>
      </c>
      <c r="D1217" s="6" t="s">
        <v>17</v>
      </c>
      <c r="E1217" s="5" t="s">
        <v>18</v>
      </c>
      <c r="F1217" s="6" t="s">
        <v>813</v>
      </c>
      <c r="G1217" s="5" t="s">
        <v>754</v>
      </c>
      <c r="H1217" s="6" t="s">
        <v>20</v>
      </c>
      <c r="I1217" s="5" t="s">
        <v>21</v>
      </c>
      <c r="J1217" s="4" t="s">
        <v>22</v>
      </c>
      <c r="K1217" s="2" t="s">
        <v>23</v>
      </c>
      <c r="L1217" s="6" t="s">
        <v>24</v>
      </c>
      <c r="M1217" s="5" t="s">
        <v>25</v>
      </c>
      <c r="N1217" s="3" t="s">
        <v>26</v>
      </c>
      <c r="O1217" s="5">
        <v>2</v>
      </c>
      <c r="P1217" s="3" t="s">
        <v>23</v>
      </c>
      <c r="Q1217" s="5"/>
    </row>
    <row r="1218" spans="1:17" ht="108.5">
      <c r="A1218" s="5">
        <v>1213</v>
      </c>
      <c r="B1218" s="6" t="s">
        <v>16</v>
      </c>
      <c r="C1218" s="5" t="str">
        <f>HYPERLINK("http://data.overheid.nl/data/dataset/digitaal-topografisch-bestand-rivieren-1993-2000-vlakken","Digitaal Topografisch Bestand Rivieren 1993-2000 vlakken")</f>
        <v>Digitaal Topografisch Bestand Rivieren 1993-2000 vlakken</v>
      </c>
      <c r="D1218" s="6" t="s">
        <v>17</v>
      </c>
      <c r="E1218" s="5" t="s">
        <v>18</v>
      </c>
      <c r="F1218" s="6" t="s">
        <v>813</v>
      </c>
      <c r="G1218" s="5" t="s">
        <v>752</v>
      </c>
      <c r="H1218" s="6" t="s">
        <v>20</v>
      </c>
      <c r="I1218" s="5" t="s">
        <v>21</v>
      </c>
      <c r="J1218" s="4" t="s">
        <v>22</v>
      </c>
      <c r="K1218" s="2" t="s">
        <v>23</v>
      </c>
      <c r="L1218" s="6" t="s">
        <v>24</v>
      </c>
      <c r="M1218" s="5" t="s">
        <v>25</v>
      </c>
      <c r="N1218" s="3" t="s">
        <v>26</v>
      </c>
      <c r="O1218" s="5">
        <v>2</v>
      </c>
      <c r="P1218" s="3" t="s">
        <v>23</v>
      </c>
      <c r="Q1218" s="5"/>
    </row>
    <row r="1219" spans="1:17" ht="108.5">
      <c r="A1219" s="5">
        <v>1214</v>
      </c>
      <c r="B1219" s="6" t="s">
        <v>16</v>
      </c>
      <c r="C1219" s="5" t="str">
        <f>HYPERLINK("http://data.overheid.nl/data/dataset/digitaal-topografisch-bestand-rivieren-1993-2000-punten","Digitaal Topografisch Bestand Rivieren 1993-2000 punten")</f>
        <v>Digitaal Topografisch Bestand Rivieren 1993-2000 punten</v>
      </c>
      <c r="D1219" s="6" t="s">
        <v>17</v>
      </c>
      <c r="E1219" s="5" t="s">
        <v>18</v>
      </c>
      <c r="F1219" s="6" t="s">
        <v>813</v>
      </c>
      <c r="G1219" s="5" t="s">
        <v>752</v>
      </c>
      <c r="H1219" s="6" t="s">
        <v>20</v>
      </c>
      <c r="I1219" s="5" t="s">
        <v>21</v>
      </c>
      <c r="J1219" s="4" t="s">
        <v>22</v>
      </c>
      <c r="K1219" s="2" t="s">
        <v>23</v>
      </c>
      <c r="L1219" s="6" t="s">
        <v>24</v>
      </c>
      <c r="M1219" s="5" t="s">
        <v>25</v>
      </c>
      <c r="N1219" s="3" t="s">
        <v>26</v>
      </c>
      <c r="O1219" s="5">
        <v>2</v>
      </c>
      <c r="P1219" s="3" t="s">
        <v>23</v>
      </c>
      <c r="Q1219" s="5"/>
    </row>
    <row r="1220" spans="1:17" ht="62">
      <c r="A1220" s="5">
        <v>1215</v>
      </c>
      <c r="B1220" s="6" t="s">
        <v>16</v>
      </c>
      <c r="C1220" s="5" t="str">
        <f>HYPERLINK("http://data.overheid.nl/data/dataset/digitaal-topografisch-bestand-rivieren-1993-2000-fotovluchten","Digitaal Topografisch Bestand Rivieren 1993-2000 fotovluchten")</f>
        <v>Digitaal Topografisch Bestand Rivieren 1993-2000 fotovluchten</v>
      </c>
      <c r="D1220" s="6" t="s">
        <v>17</v>
      </c>
      <c r="E1220" s="5" t="s">
        <v>18</v>
      </c>
      <c r="F1220" s="6" t="s">
        <v>813</v>
      </c>
      <c r="G1220" s="5" t="s">
        <v>755</v>
      </c>
      <c r="H1220" s="6" t="s">
        <v>20</v>
      </c>
      <c r="I1220" s="5" t="s">
        <v>21</v>
      </c>
      <c r="J1220" s="4" t="s">
        <v>22</v>
      </c>
      <c r="K1220" s="2" t="s">
        <v>23</v>
      </c>
      <c r="L1220" s="6" t="s">
        <v>24</v>
      </c>
      <c r="M1220" s="5" t="s">
        <v>25</v>
      </c>
      <c r="N1220" s="3" t="s">
        <v>26</v>
      </c>
      <c r="O1220" s="5">
        <v>2</v>
      </c>
      <c r="P1220" s="3" t="s">
        <v>23</v>
      </c>
      <c r="Q1220" s="5"/>
    </row>
    <row r="1221" spans="1:17" ht="46.5">
      <c r="A1221" s="5">
        <v>1216</v>
      </c>
      <c r="B1221" s="6" t="s">
        <v>16</v>
      </c>
      <c r="C1221" s="5" t="str">
        <f>HYPERLINK("http://data.overheid.nl/data/dataset/digitaal-topografisch-bestand2000-2000-2007-omhullende","Digitaal Topografisch Bestand2000 2000-2007 omhullende")</f>
        <v>Digitaal Topografisch Bestand2000 2000-2007 omhullende</v>
      </c>
      <c r="D1221" s="6" t="s">
        <v>17</v>
      </c>
      <c r="E1221" s="5" t="s">
        <v>18</v>
      </c>
      <c r="F1221" s="6" t="s">
        <v>813</v>
      </c>
      <c r="G1221" s="5" t="s">
        <v>756</v>
      </c>
      <c r="H1221" s="6" t="s">
        <v>20</v>
      </c>
      <c r="I1221" s="5" t="s">
        <v>21</v>
      </c>
      <c r="J1221" s="4" t="s">
        <v>22</v>
      </c>
      <c r="K1221" s="2" t="s">
        <v>23</v>
      </c>
      <c r="L1221" s="6" t="s">
        <v>24</v>
      </c>
      <c r="M1221" s="5" t="s">
        <v>25</v>
      </c>
      <c r="N1221" s="3" t="s">
        <v>26</v>
      </c>
      <c r="O1221" s="5">
        <v>2</v>
      </c>
      <c r="P1221" s="3" t="s">
        <v>23</v>
      </c>
      <c r="Q1221" s="5"/>
    </row>
    <row r="1222" spans="1:17" ht="93">
      <c r="A1222" s="5">
        <v>1217</v>
      </c>
      <c r="B1222" s="6" t="s">
        <v>16</v>
      </c>
      <c r="C1222" s="5" t="str">
        <f>HYPERLINK("http://data.overheid.nl/data/dataset/digitaal-topografisch-bestand2000-2000-2007-lijnen","Digitaal Topografisch Bestand2000 2000-2007 lijnen")</f>
        <v>Digitaal Topografisch Bestand2000 2000-2007 lijnen</v>
      </c>
      <c r="D1222" s="6" t="s">
        <v>17</v>
      </c>
      <c r="E1222" s="5" t="s">
        <v>18</v>
      </c>
      <c r="F1222" s="6" t="s">
        <v>813</v>
      </c>
      <c r="G1222" s="5" t="s">
        <v>753</v>
      </c>
      <c r="H1222" s="6" t="s">
        <v>20</v>
      </c>
      <c r="I1222" s="5" t="s">
        <v>21</v>
      </c>
      <c r="J1222" s="4" t="s">
        <v>22</v>
      </c>
      <c r="K1222" s="2" t="s">
        <v>23</v>
      </c>
      <c r="L1222" s="6" t="s">
        <v>24</v>
      </c>
      <c r="M1222" s="5" t="s">
        <v>25</v>
      </c>
      <c r="N1222" s="3" t="s">
        <v>26</v>
      </c>
      <c r="O1222" s="5">
        <v>2</v>
      </c>
      <c r="P1222" s="3" t="s">
        <v>23</v>
      </c>
      <c r="Q1222" s="5"/>
    </row>
    <row r="1223" spans="1:17" ht="31">
      <c r="A1223" s="5">
        <v>1218</v>
      </c>
      <c r="B1223" s="6" t="s">
        <v>16</v>
      </c>
      <c r="C1223" s="5" t="str">
        <f>HYPERLINK("http://data.overheid.nl/data/dataset/bladoverzicht-rivierkaarten-vassen2","Bladoverzicht rivierkaarten vassen2")</f>
        <v>Bladoverzicht rivierkaarten vassen2</v>
      </c>
      <c r="D1223" s="6" t="s">
        <v>17</v>
      </c>
      <c r="E1223" s="5" t="s">
        <v>18</v>
      </c>
      <c r="F1223" s="6" t="s">
        <v>813</v>
      </c>
      <c r="G1223" s="5" t="s">
        <v>757</v>
      </c>
      <c r="H1223" s="6" t="s">
        <v>20</v>
      </c>
      <c r="I1223" s="5" t="s">
        <v>21</v>
      </c>
      <c r="J1223" s="4" t="s">
        <v>22</v>
      </c>
      <c r="K1223" s="2" t="s">
        <v>23</v>
      </c>
      <c r="L1223" s="6" t="s">
        <v>24</v>
      </c>
      <c r="M1223" s="5" t="s">
        <v>25</v>
      </c>
      <c r="N1223" s="3" t="s">
        <v>26</v>
      </c>
      <c r="O1223" s="5">
        <v>2</v>
      </c>
      <c r="P1223" s="3" t="s">
        <v>23</v>
      </c>
      <c r="Q1223" s="5"/>
    </row>
    <row r="1224" spans="1:17" ht="31">
      <c r="A1224" s="5">
        <v>1219</v>
      </c>
      <c r="B1224" s="6" t="s">
        <v>16</v>
      </c>
      <c r="C1224" s="5" t="str">
        <f>HYPERLINK("http://data.overheid.nl/data/dataset/bladoverzicht-rivierkaarten-vassen1","Bladoverzicht rivierkaarten vassen1")</f>
        <v>Bladoverzicht rivierkaarten vassen1</v>
      </c>
      <c r="D1224" s="6" t="s">
        <v>17</v>
      </c>
      <c r="E1224" s="5" t="s">
        <v>18</v>
      </c>
      <c r="F1224" s="6" t="s">
        <v>813</v>
      </c>
      <c r="G1224" s="5" t="s">
        <v>757</v>
      </c>
      <c r="H1224" s="6" t="s">
        <v>20</v>
      </c>
      <c r="I1224" s="5" t="s">
        <v>21</v>
      </c>
      <c r="J1224" s="4" t="s">
        <v>22</v>
      </c>
      <c r="K1224" s="2" t="s">
        <v>23</v>
      </c>
      <c r="L1224" s="6" t="s">
        <v>24</v>
      </c>
      <c r="M1224" s="5" t="s">
        <v>25</v>
      </c>
      <c r="N1224" s="3" t="s">
        <v>26</v>
      </c>
      <c r="O1224" s="5">
        <v>2</v>
      </c>
      <c r="P1224" s="3" t="s">
        <v>23</v>
      </c>
      <c r="Q1224" s="5"/>
    </row>
    <row r="1225" spans="1:17" ht="31">
      <c r="A1225" s="5">
        <v>1220</v>
      </c>
      <c r="B1225" s="6" t="s">
        <v>16</v>
      </c>
      <c r="C1225" s="5" t="str">
        <f>HYPERLINK("http://data.overheid.nl/data/dataset/bladoverzicht-rivierkaarten-2e-herziening-serie4-1950-1961","Bladoverzicht rivierkaarten 2e herziening serie4 1950 1961")</f>
        <v>Bladoverzicht rivierkaarten 2e herziening serie4 1950 1961</v>
      </c>
      <c r="D1225" s="6" t="s">
        <v>17</v>
      </c>
      <c r="E1225" s="5" t="s">
        <v>18</v>
      </c>
      <c r="F1225" s="6" t="s">
        <v>813</v>
      </c>
      <c r="G1225" s="5" t="s">
        <v>757</v>
      </c>
      <c r="H1225" s="6" t="s">
        <v>20</v>
      </c>
      <c r="I1225" s="5" t="s">
        <v>21</v>
      </c>
      <c r="J1225" s="4" t="s">
        <v>22</v>
      </c>
      <c r="K1225" s="2" t="s">
        <v>23</v>
      </c>
      <c r="L1225" s="6" t="s">
        <v>24</v>
      </c>
      <c r="M1225" s="5" t="s">
        <v>25</v>
      </c>
      <c r="N1225" s="3" t="s">
        <v>26</v>
      </c>
      <c r="O1225" s="5">
        <v>2</v>
      </c>
      <c r="P1225" s="3" t="s">
        <v>23</v>
      </c>
      <c r="Q1225" s="5"/>
    </row>
    <row r="1226" spans="1:17" ht="31">
      <c r="A1226" s="5">
        <v>1221</v>
      </c>
      <c r="B1226" s="6" t="s">
        <v>16</v>
      </c>
      <c r="C1226" s="5" t="str">
        <f>HYPERLINK("http://data.overheid.nl/data/dataset/bladoverzicht-rivierkaarten-2e-herziening-serie4","Bladoverzicht rivierkaarten 2e herziening serie4")</f>
        <v>Bladoverzicht rivierkaarten 2e herziening serie4</v>
      </c>
      <c r="D1226" s="6" t="s">
        <v>17</v>
      </c>
      <c r="E1226" s="5" t="s">
        <v>18</v>
      </c>
      <c r="F1226" s="6" t="s">
        <v>813</v>
      </c>
      <c r="G1226" s="5" t="s">
        <v>757</v>
      </c>
      <c r="H1226" s="6" t="s">
        <v>20</v>
      </c>
      <c r="I1226" s="5" t="s">
        <v>21</v>
      </c>
      <c r="J1226" s="4" t="s">
        <v>22</v>
      </c>
      <c r="K1226" s="2" t="s">
        <v>23</v>
      </c>
      <c r="L1226" s="6" t="s">
        <v>24</v>
      </c>
      <c r="M1226" s="5" t="s">
        <v>25</v>
      </c>
      <c r="N1226" s="3" t="s">
        <v>26</v>
      </c>
      <c r="O1226" s="5">
        <v>4</v>
      </c>
      <c r="P1226" s="3" t="s">
        <v>23</v>
      </c>
      <c r="Q1226" s="5"/>
    </row>
    <row r="1227" spans="1:17" ht="31">
      <c r="A1227" s="5">
        <v>1222</v>
      </c>
      <c r="B1227" s="6" t="s">
        <v>16</v>
      </c>
      <c r="C1227" s="5" t="str">
        <f>HYPERLINK("http://data.overheid.nl/data/dataset/bladoverzicht-rivierkaarten-2e-herziening-serie3","Bladoverzicht rivierkaarten 2e herziening serie3")</f>
        <v>Bladoverzicht rivierkaarten 2e herziening serie3</v>
      </c>
      <c r="D1227" s="6" t="s">
        <v>17</v>
      </c>
      <c r="E1227" s="5" t="s">
        <v>18</v>
      </c>
      <c r="F1227" s="6" t="s">
        <v>813</v>
      </c>
      <c r="G1227" s="5" t="s">
        <v>757</v>
      </c>
      <c r="H1227" s="6" t="s">
        <v>20</v>
      </c>
      <c r="I1227" s="5" t="s">
        <v>21</v>
      </c>
      <c r="J1227" s="4" t="s">
        <v>22</v>
      </c>
      <c r="K1227" s="2" t="s">
        <v>23</v>
      </c>
      <c r="L1227" s="6" t="s">
        <v>24</v>
      </c>
      <c r="M1227" s="5" t="s">
        <v>25</v>
      </c>
      <c r="N1227" s="3" t="s">
        <v>26</v>
      </c>
      <c r="O1227" s="5">
        <v>2</v>
      </c>
      <c r="P1227" s="3" t="s">
        <v>23</v>
      </c>
      <c r="Q1227" s="5"/>
    </row>
    <row r="1228" spans="1:17" ht="31">
      <c r="A1228" s="5">
        <v>1223</v>
      </c>
      <c r="B1228" s="6" t="s">
        <v>16</v>
      </c>
      <c r="C1228" s="5" t="str">
        <f>HYPERLINK("http://data.overheid.nl/data/dataset/bladoverzicht-rivierkaarten-2e-herziening-serie2-uitgave","Bladoverzicht rivierkaarten 2e herziening serie2 uitgave")</f>
        <v>Bladoverzicht rivierkaarten 2e herziening serie2 uitgave</v>
      </c>
      <c r="D1228" s="6" t="s">
        <v>17</v>
      </c>
      <c r="E1228" s="5" t="s">
        <v>18</v>
      </c>
      <c r="F1228" s="6" t="s">
        <v>813</v>
      </c>
      <c r="G1228" s="5" t="s">
        <v>757</v>
      </c>
      <c r="H1228" s="6" t="s">
        <v>20</v>
      </c>
      <c r="I1228" s="5" t="s">
        <v>21</v>
      </c>
      <c r="J1228" s="4" t="s">
        <v>22</v>
      </c>
      <c r="K1228" s="2" t="s">
        <v>23</v>
      </c>
      <c r="L1228" s="6" t="s">
        <v>24</v>
      </c>
      <c r="M1228" s="5" t="s">
        <v>25</v>
      </c>
      <c r="N1228" s="3" t="s">
        <v>26</v>
      </c>
      <c r="O1228" s="5">
        <v>2</v>
      </c>
      <c r="P1228" s="3" t="s">
        <v>23</v>
      </c>
      <c r="Q1228" s="5"/>
    </row>
    <row r="1229" spans="1:17" ht="31">
      <c r="A1229" s="5">
        <v>1224</v>
      </c>
      <c r="B1229" s="6" t="s">
        <v>16</v>
      </c>
      <c r="C1229" s="5" t="str">
        <f>HYPERLINK("http://data.overheid.nl/data/dataset/bladoverzicht-rivierkaarten-2e-herziening-serie2a-uitgave","Bladoverzicht rivierkaarten 2e herziening serie2a uitgave")</f>
        <v>Bladoverzicht rivierkaarten 2e herziening serie2a uitgave</v>
      </c>
      <c r="D1229" s="6" t="s">
        <v>17</v>
      </c>
      <c r="E1229" s="5" t="s">
        <v>18</v>
      </c>
      <c r="F1229" s="6" t="s">
        <v>813</v>
      </c>
      <c r="G1229" s="5" t="s">
        <v>757</v>
      </c>
      <c r="H1229" s="6" t="s">
        <v>20</v>
      </c>
      <c r="I1229" s="5" t="s">
        <v>21</v>
      </c>
      <c r="J1229" s="4" t="s">
        <v>22</v>
      </c>
      <c r="K1229" s="2" t="s">
        <v>23</v>
      </c>
      <c r="L1229" s="6" t="s">
        <v>24</v>
      </c>
      <c r="M1229" s="5" t="s">
        <v>25</v>
      </c>
      <c r="N1229" s="3" t="s">
        <v>26</v>
      </c>
      <c r="O1229" s="5">
        <v>2</v>
      </c>
      <c r="P1229" s="3" t="s">
        <v>23</v>
      </c>
      <c r="Q1229" s="5"/>
    </row>
    <row r="1230" spans="1:17" ht="31">
      <c r="A1230" s="5">
        <v>1225</v>
      </c>
      <c r="B1230" s="6" t="s">
        <v>16</v>
      </c>
      <c r="C1230" s="5" t="str">
        <f>HYPERLINK("http://data.overheid.nl/data/dataset/bladoverzicht-rivierkaarten-2e-herziening-serie2a","Bladoverzicht rivierkaarten 2e herziening serie2a")</f>
        <v>Bladoverzicht rivierkaarten 2e herziening serie2a</v>
      </c>
      <c r="D1230" s="6" t="s">
        <v>17</v>
      </c>
      <c r="E1230" s="5" t="s">
        <v>18</v>
      </c>
      <c r="F1230" s="6" t="s">
        <v>813</v>
      </c>
      <c r="G1230" s="5" t="s">
        <v>757</v>
      </c>
      <c r="H1230" s="6" t="s">
        <v>20</v>
      </c>
      <c r="I1230" s="5" t="s">
        <v>21</v>
      </c>
      <c r="J1230" s="4" t="s">
        <v>22</v>
      </c>
      <c r="K1230" s="2" t="s">
        <v>23</v>
      </c>
      <c r="L1230" s="6" t="s">
        <v>24</v>
      </c>
      <c r="M1230" s="5" t="s">
        <v>25</v>
      </c>
      <c r="N1230" s="3" t="s">
        <v>26</v>
      </c>
      <c r="O1230" s="5">
        <v>4</v>
      </c>
      <c r="P1230" s="3" t="s">
        <v>23</v>
      </c>
      <c r="Q1230" s="5"/>
    </row>
    <row r="1231" spans="1:17" ht="31">
      <c r="A1231" s="5">
        <v>1226</v>
      </c>
      <c r="B1231" s="6" t="s">
        <v>16</v>
      </c>
      <c r="C1231" s="5" t="str">
        <f>HYPERLINK("http://data.overheid.nl/data/dataset/bladoverzicht-rivierkaarten-2e-herziening-serie2","Bladoverzicht rivierkaarten 2e herziening serie2")</f>
        <v>Bladoverzicht rivierkaarten 2e herziening serie2</v>
      </c>
      <c r="D1231" s="6" t="s">
        <v>17</v>
      </c>
      <c r="E1231" s="5" t="s">
        <v>18</v>
      </c>
      <c r="F1231" s="6" t="s">
        <v>813</v>
      </c>
      <c r="G1231" s="5" t="s">
        <v>757</v>
      </c>
      <c r="H1231" s="6" t="s">
        <v>20</v>
      </c>
      <c r="I1231" s="5" t="s">
        <v>21</v>
      </c>
      <c r="J1231" s="4" t="s">
        <v>22</v>
      </c>
      <c r="K1231" s="2" t="s">
        <v>23</v>
      </c>
      <c r="L1231" s="6" t="s">
        <v>24</v>
      </c>
      <c r="M1231" s="5" t="s">
        <v>25</v>
      </c>
      <c r="N1231" s="3" t="s">
        <v>26</v>
      </c>
      <c r="O1231" s="5">
        <v>8</v>
      </c>
      <c r="P1231" s="3" t="s">
        <v>23</v>
      </c>
      <c r="Q1231" s="5"/>
    </row>
    <row r="1232" spans="1:17" ht="31">
      <c r="A1232" s="5">
        <v>1227</v>
      </c>
      <c r="B1232" s="6" t="s">
        <v>16</v>
      </c>
      <c r="C1232" s="5" t="str">
        <f>HYPERLINK("http://data.overheid.nl/data/dataset/bladoverzicht-rivierkaarten-2e-herziening-serie1-uitgave","Bladoverzicht rivierkaarten 2e herziening serie1 uitgave")</f>
        <v>Bladoverzicht rivierkaarten 2e herziening serie1 uitgave</v>
      </c>
      <c r="D1232" s="6" t="s">
        <v>17</v>
      </c>
      <c r="E1232" s="5" t="s">
        <v>18</v>
      </c>
      <c r="F1232" s="6" t="s">
        <v>813</v>
      </c>
      <c r="G1232" s="5" t="s">
        <v>757</v>
      </c>
      <c r="H1232" s="6" t="s">
        <v>20</v>
      </c>
      <c r="I1232" s="5" t="s">
        <v>21</v>
      </c>
      <c r="J1232" s="4" t="s">
        <v>22</v>
      </c>
      <c r="K1232" s="2" t="s">
        <v>23</v>
      </c>
      <c r="L1232" s="6" t="s">
        <v>24</v>
      </c>
      <c r="M1232" s="5" t="s">
        <v>25</v>
      </c>
      <c r="N1232" s="3" t="s">
        <v>26</v>
      </c>
      <c r="O1232" s="5">
        <v>2</v>
      </c>
      <c r="P1232" s="3" t="s">
        <v>23</v>
      </c>
      <c r="Q1232" s="5"/>
    </row>
    <row r="1233" spans="1:17" ht="31">
      <c r="A1233" s="5">
        <v>1228</v>
      </c>
      <c r="B1233" s="6" t="s">
        <v>16</v>
      </c>
      <c r="C1233" s="5" t="str">
        <f>HYPERLINK("http://data.overheid.nl/data/dataset/bladoverzicht-rivierkaarten-2e-herziening-serie1","Bladoverzicht rivierkaarten 2e herziening serie1")</f>
        <v>Bladoverzicht rivierkaarten 2e herziening serie1</v>
      </c>
      <c r="D1233" s="6" t="s">
        <v>17</v>
      </c>
      <c r="E1233" s="5" t="s">
        <v>18</v>
      </c>
      <c r="F1233" s="6" t="s">
        <v>813</v>
      </c>
      <c r="G1233" s="5" t="s">
        <v>757</v>
      </c>
      <c r="H1233" s="6" t="s">
        <v>20</v>
      </c>
      <c r="I1233" s="5" t="s">
        <v>21</v>
      </c>
      <c r="J1233" s="4" t="s">
        <v>22</v>
      </c>
      <c r="K1233" s="2" t="s">
        <v>23</v>
      </c>
      <c r="L1233" s="6" t="s">
        <v>24</v>
      </c>
      <c r="M1233" s="5" t="s">
        <v>25</v>
      </c>
      <c r="N1233" s="3" t="s">
        <v>26</v>
      </c>
      <c r="O1233" s="5">
        <v>4</v>
      </c>
      <c r="P1233" s="3" t="s">
        <v>23</v>
      </c>
      <c r="Q1233" s="5"/>
    </row>
    <row r="1234" spans="1:17" ht="31">
      <c r="A1234" s="5">
        <v>1229</v>
      </c>
      <c r="B1234" s="6" t="s">
        <v>16</v>
      </c>
      <c r="C1234" s="5" t="str">
        <f>HYPERLINK("http://data.overheid.nl/data/dataset/bladoverzicht-rivierkaarten-1e-herziening-serie8-1915-1924","Bladoverzicht rivierkaarten 1e herziening serie8 1915-1924")</f>
        <v>Bladoverzicht rivierkaarten 1e herziening serie8 1915-1924</v>
      </c>
      <c r="D1234" s="6" t="s">
        <v>17</v>
      </c>
      <c r="E1234" s="5" t="s">
        <v>18</v>
      </c>
      <c r="F1234" s="6" t="s">
        <v>813</v>
      </c>
      <c r="G1234" s="5" t="s">
        <v>757</v>
      </c>
      <c r="H1234" s="6" t="s">
        <v>20</v>
      </c>
      <c r="I1234" s="5" t="s">
        <v>21</v>
      </c>
      <c r="J1234" s="4" t="s">
        <v>22</v>
      </c>
      <c r="K1234" s="2" t="s">
        <v>23</v>
      </c>
      <c r="L1234" s="6" t="s">
        <v>24</v>
      </c>
      <c r="M1234" s="5" t="s">
        <v>25</v>
      </c>
      <c r="N1234" s="3" t="s">
        <v>26</v>
      </c>
      <c r="O1234" s="5">
        <v>2</v>
      </c>
      <c r="P1234" s="3" t="s">
        <v>23</v>
      </c>
      <c r="Q1234" s="5"/>
    </row>
    <row r="1235" spans="1:17" ht="31">
      <c r="A1235" s="5">
        <v>1230</v>
      </c>
      <c r="B1235" s="6" t="s">
        <v>16</v>
      </c>
      <c r="C1235" s="5" t="str">
        <f>HYPERLINK("http://data.overheid.nl/data/dataset/bladoverzicht-rivierkaarten-1e-herziening-serie8","Bladoverzicht rivierkaarten 1e herziening serie8")</f>
        <v>Bladoverzicht rivierkaarten 1e herziening serie8</v>
      </c>
      <c r="D1235" s="6" t="s">
        <v>17</v>
      </c>
      <c r="E1235" s="5" t="s">
        <v>18</v>
      </c>
      <c r="F1235" s="6" t="s">
        <v>813</v>
      </c>
      <c r="G1235" s="5" t="s">
        <v>757</v>
      </c>
      <c r="H1235" s="6" t="s">
        <v>20</v>
      </c>
      <c r="I1235" s="5" t="s">
        <v>21</v>
      </c>
      <c r="J1235" s="4" t="s">
        <v>22</v>
      </c>
      <c r="K1235" s="2" t="s">
        <v>23</v>
      </c>
      <c r="L1235" s="6" t="s">
        <v>24</v>
      </c>
      <c r="M1235" s="5" t="s">
        <v>25</v>
      </c>
      <c r="N1235" s="3" t="s">
        <v>26</v>
      </c>
      <c r="O1235" s="5">
        <v>4</v>
      </c>
      <c r="P1235" s="3" t="s">
        <v>23</v>
      </c>
      <c r="Q1235" s="5"/>
    </row>
    <row r="1236" spans="1:17" ht="31">
      <c r="A1236" s="5">
        <v>1231</v>
      </c>
      <c r="B1236" s="6" t="s">
        <v>16</v>
      </c>
      <c r="C1236" s="5" t="str">
        <f>HYPERLINK("http://data.overheid.nl/data/dataset/bladoverzicht-rivierkaarten-1e-herziening-serie7","Bladoverzicht rivierkaarten 1e herziening serie7")</f>
        <v>Bladoverzicht rivierkaarten 1e herziening serie7</v>
      </c>
      <c r="D1236" s="6" t="s">
        <v>17</v>
      </c>
      <c r="E1236" s="5" t="s">
        <v>18</v>
      </c>
      <c r="F1236" s="6" t="s">
        <v>813</v>
      </c>
      <c r="G1236" s="5" t="s">
        <v>757</v>
      </c>
      <c r="H1236" s="6" t="s">
        <v>20</v>
      </c>
      <c r="I1236" s="5" t="s">
        <v>21</v>
      </c>
      <c r="J1236" s="4" t="s">
        <v>22</v>
      </c>
      <c r="K1236" s="2" t="s">
        <v>23</v>
      </c>
      <c r="L1236" s="6" t="s">
        <v>24</v>
      </c>
      <c r="M1236" s="5" t="s">
        <v>25</v>
      </c>
      <c r="N1236" s="3" t="s">
        <v>26</v>
      </c>
      <c r="O1236" s="5">
        <v>2</v>
      </c>
      <c r="P1236" s="3" t="s">
        <v>23</v>
      </c>
      <c r="Q1236" s="5"/>
    </row>
    <row r="1237" spans="1:17" ht="31">
      <c r="A1237" s="5">
        <v>1232</v>
      </c>
      <c r="B1237" s="6" t="s">
        <v>16</v>
      </c>
      <c r="C1237" s="5" t="str">
        <f>HYPERLINK("http://data.overheid.nl/data/dataset/bladoverzicht-rivierkaarten-1e-herziening-serie6","Bladoverzicht rivierkaarten 1e herziening serie6")</f>
        <v>Bladoverzicht rivierkaarten 1e herziening serie6</v>
      </c>
      <c r="D1237" s="6" t="s">
        <v>17</v>
      </c>
      <c r="E1237" s="5" t="s">
        <v>18</v>
      </c>
      <c r="F1237" s="6" t="s">
        <v>813</v>
      </c>
      <c r="G1237" s="5" t="s">
        <v>757</v>
      </c>
      <c r="H1237" s="6" t="s">
        <v>20</v>
      </c>
      <c r="I1237" s="5" t="s">
        <v>21</v>
      </c>
      <c r="J1237" s="4" t="s">
        <v>22</v>
      </c>
      <c r="K1237" s="2" t="s">
        <v>23</v>
      </c>
      <c r="L1237" s="6" t="s">
        <v>24</v>
      </c>
      <c r="M1237" s="5" t="s">
        <v>25</v>
      </c>
      <c r="N1237" s="3" t="s">
        <v>26</v>
      </c>
      <c r="O1237" s="5">
        <v>2</v>
      </c>
      <c r="P1237" s="3" t="s">
        <v>23</v>
      </c>
      <c r="Q1237" s="5"/>
    </row>
    <row r="1238" spans="1:17" ht="31">
      <c r="A1238" s="5">
        <v>1233</v>
      </c>
      <c r="B1238" s="6" t="s">
        <v>16</v>
      </c>
      <c r="C1238" s="5" t="str">
        <f>HYPERLINK("http://data.overheid.nl/data/dataset/bladoverzicht-rivierkaarten-1e-herziening-serie4-5","Bladoverzicht rivierkaarten 1e herziening serie4 5")</f>
        <v>Bladoverzicht rivierkaarten 1e herziening serie4 5</v>
      </c>
      <c r="D1238" s="6" t="s">
        <v>17</v>
      </c>
      <c r="E1238" s="5" t="s">
        <v>18</v>
      </c>
      <c r="F1238" s="6" t="s">
        <v>813</v>
      </c>
      <c r="G1238" s="5" t="s">
        <v>757</v>
      </c>
      <c r="H1238" s="6" t="s">
        <v>20</v>
      </c>
      <c r="I1238" s="5" t="s">
        <v>21</v>
      </c>
      <c r="J1238" s="4" t="s">
        <v>22</v>
      </c>
      <c r="K1238" s="2" t="s">
        <v>23</v>
      </c>
      <c r="L1238" s="6" t="s">
        <v>24</v>
      </c>
      <c r="M1238" s="5" t="s">
        <v>25</v>
      </c>
      <c r="N1238" s="3" t="s">
        <v>26</v>
      </c>
      <c r="O1238" s="5">
        <v>2</v>
      </c>
      <c r="P1238" s="3" t="s">
        <v>23</v>
      </c>
      <c r="Q1238" s="5"/>
    </row>
    <row r="1239" spans="1:17" ht="31">
      <c r="A1239" s="5">
        <v>1234</v>
      </c>
      <c r="B1239" s="6" t="s">
        <v>16</v>
      </c>
      <c r="C1239" s="5" t="str">
        <f>HYPERLINK("http://data.overheid.nl/data/dataset/bladoverzicht-rivierkaarten-1e-herziening-serie3","Bladoverzicht rivierkaarten 1e herziening serie3")</f>
        <v>Bladoverzicht rivierkaarten 1e herziening serie3</v>
      </c>
      <c r="D1239" s="6" t="s">
        <v>17</v>
      </c>
      <c r="E1239" s="5" t="s">
        <v>18</v>
      </c>
      <c r="F1239" s="6" t="s">
        <v>813</v>
      </c>
      <c r="G1239" s="5" t="s">
        <v>757</v>
      </c>
      <c r="H1239" s="6" t="s">
        <v>20</v>
      </c>
      <c r="I1239" s="5" t="s">
        <v>21</v>
      </c>
      <c r="J1239" s="4" t="s">
        <v>22</v>
      </c>
      <c r="K1239" s="2" t="s">
        <v>23</v>
      </c>
      <c r="L1239" s="6" t="s">
        <v>24</v>
      </c>
      <c r="M1239" s="5" t="s">
        <v>25</v>
      </c>
      <c r="N1239" s="3" t="s">
        <v>26</v>
      </c>
      <c r="O1239" s="5">
        <v>2</v>
      </c>
      <c r="P1239" s="3" t="s">
        <v>23</v>
      </c>
      <c r="Q1239" s="5"/>
    </row>
    <row r="1240" spans="1:17" ht="31">
      <c r="A1240" s="5">
        <v>1235</v>
      </c>
      <c r="B1240" s="6" t="s">
        <v>16</v>
      </c>
      <c r="C1240" s="5" t="str">
        <f>HYPERLINK("http://data.overheid.nl/data/dataset/bladoverzicht-rivierkaarten-1e-herziening-serie2-1903-1907","Bladoverzicht rivierkaarten 1e herziening serie2 1903 1907")</f>
        <v>Bladoverzicht rivierkaarten 1e herziening serie2 1903 1907</v>
      </c>
      <c r="D1240" s="6" t="s">
        <v>17</v>
      </c>
      <c r="E1240" s="5" t="s">
        <v>18</v>
      </c>
      <c r="F1240" s="6" t="s">
        <v>813</v>
      </c>
      <c r="G1240" s="5" t="s">
        <v>757</v>
      </c>
      <c r="H1240" s="6" t="s">
        <v>20</v>
      </c>
      <c r="I1240" s="5" t="s">
        <v>21</v>
      </c>
      <c r="J1240" s="4" t="s">
        <v>22</v>
      </c>
      <c r="K1240" s="2" t="s">
        <v>23</v>
      </c>
      <c r="L1240" s="6" t="s">
        <v>24</v>
      </c>
      <c r="M1240" s="5" t="s">
        <v>25</v>
      </c>
      <c r="N1240" s="3" t="s">
        <v>26</v>
      </c>
      <c r="O1240" s="5">
        <v>2</v>
      </c>
      <c r="P1240" s="3" t="s">
        <v>23</v>
      </c>
      <c r="Q1240" s="5"/>
    </row>
    <row r="1241" spans="1:17" ht="31">
      <c r="A1241" s="5">
        <v>1236</v>
      </c>
      <c r="B1241" s="6" t="s">
        <v>16</v>
      </c>
      <c r="C1241" s="5" t="str">
        <f>HYPERLINK("http://data.overheid.nl/data/dataset/bladoverzicht-rivierkaarten-1e-herziening-serie2","Bladoverzicht rivierkaarten 1e herziening serie2")</f>
        <v>Bladoverzicht rivierkaarten 1e herziening serie2</v>
      </c>
      <c r="D1241" s="6" t="s">
        <v>17</v>
      </c>
      <c r="E1241" s="5" t="s">
        <v>18</v>
      </c>
      <c r="F1241" s="6" t="s">
        <v>813</v>
      </c>
      <c r="G1241" s="5" t="s">
        <v>757</v>
      </c>
      <c r="H1241" s="6" t="s">
        <v>20</v>
      </c>
      <c r="I1241" s="5" t="s">
        <v>21</v>
      </c>
      <c r="J1241" s="4" t="s">
        <v>22</v>
      </c>
      <c r="K1241" s="2" t="s">
        <v>23</v>
      </c>
      <c r="L1241" s="6" t="s">
        <v>24</v>
      </c>
      <c r="M1241" s="5" t="s">
        <v>25</v>
      </c>
      <c r="N1241" s="3" t="s">
        <v>26</v>
      </c>
      <c r="O1241" s="5">
        <v>4</v>
      </c>
      <c r="P1241" s="3" t="s">
        <v>23</v>
      </c>
      <c r="Q1241" s="5"/>
    </row>
    <row r="1242" spans="1:17" ht="31">
      <c r="A1242" s="5">
        <v>1237</v>
      </c>
      <c r="B1242" s="6" t="s">
        <v>16</v>
      </c>
      <c r="C1242" s="5" t="str">
        <f>HYPERLINK("http://data.overheid.nl/data/dataset/bladoverzicht-rivierkaarten-1e-herziening-serie1","Bladoverzicht rivierkaarten 1e herziening serie1")</f>
        <v>Bladoverzicht rivierkaarten 1e herziening serie1</v>
      </c>
      <c r="D1242" s="6" t="s">
        <v>17</v>
      </c>
      <c r="E1242" s="5" t="s">
        <v>18</v>
      </c>
      <c r="F1242" s="6" t="s">
        <v>813</v>
      </c>
      <c r="G1242" s="5" t="s">
        <v>757</v>
      </c>
      <c r="H1242" s="6" t="s">
        <v>20</v>
      </c>
      <c r="I1242" s="5" t="s">
        <v>21</v>
      </c>
      <c r="J1242" s="4" t="s">
        <v>22</v>
      </c>
      <c r="K1242" s="2" t="s">
        <v>23</v>
      </c>
      <c r="L1242" s="6" t="s">
        <v>24</v>
      </c>
      <c r="M1242" s="5" t="s">
        <v>25</v>
      </c>
      <c r="N1242" s="3" t="s">
        <v>26</v>
      </c>
      <c r="O1242" s="5">
        <v>2</v>
      </c>
      <c r="P1242" s="3" t="s">
        <v>23</v>
      </c>
      <c r="Q1242" s="5"/>
    </row>
    <row r="1243" spans="1:17" ht="31">
      <c r="A1243" s="5">
        <v>1238</v>
      </c>
      <c r="B1243" s="6" t="s">
        <v>16</v>
      </c>
      <c r="C1243" s="5" t="str">
        <f>HYPERLINK("http://data.overheid.nl/data/dataset/bladoverzicht-rivierkaarten-1e-druk-serie6","Bladoverzicht rivierkaarten 1e druk serie6")</f>
        <v>Bladoverzicht rivierkaarten 1e druk serie6</v>
      </c>
      <c r="D1243" s="6" t="s">
        <v>17</v>
      </c>
      <c r="E1243" s="5" t="s">
        <v>18</v>
      </c>
      <c r="F1243" s="6" t="s">
        <v>813</v>
      </c>
      <c r="G1243" s="5" t="s">
        <v>757</v>
      </c>
      <c r="H1243" s="6" t="s">
        <v>20</v>
      </c>
      <c r="I1243" s="5" t="s">
        <v>21</v>
      </c>
      <c r="J1243" s="4" t="s">
        <v>22</v>
      </c>
      <c r="K1243" s="2" t="s">
        <v>23</v>
      </c>
      <c r="L1243" s="6" t="s">
        <v>24</v>
      </c>
      <c r="M1243" s="5" t="s">
        <v>25</v>
      </c>
      <c r="N1243" s="3" t="s">
        <v>26</v>
      </c>
      <c r="O1243" s="5">
        <v>2</v>
      </c>
      <c r="P1243" s="3" t="s">
        <v>23</v>
      </c>
      <c r="Q1243" s="5"/>
    </row>
    <row r="1244" spans="1:17" ht="31">
      <c r="A1244" s="5">
        <v>1239</v>
      </c>
      <c r="B1244" s="6" t="s">
        <v>16</v>
      </c>
      <c r="C1244" s="5" t="str">
        <f>HYPERLINK("http://data.overheid.nl/data/dataset/bladoverzicht-rivierkaarten-1e-druk-serie5","Bladoverzicht rivierkaarten 1e druk serie5")</f>
        <v>Bladoverzicht rivierkaarten 1e druk serie5</v>
      </c>
      <c r="D1244" s="6" t="s">
        <v>17</v>
      </c>
      <c r="E1244" s="5" t="s">
        <v>18</v>
      </c>
      <c r="F1244" s="6" t="s">
        <v>813</v>
      </c>
      <c r="G1244" s="5" t="s">
        <v>757</v>
      </c>
      <c r="H1244" s="6" t="s">
        <v>20</v>
      </c>
      <c r="I1244" s="5" t="s">
        <v>21</v>
      </c>
      <c r="J1244" s="4" t="s">
        <v>22</v>
      </c>
      <c r="K1244" s="2" t="s">
        <v>23</v>
      </c>
      <c r="L1244" s="6" t="s">
        <v>24</v>
      </c>
      <c r="M1244" s="5" t="s">
        <v>25</v>
      </c>
      <c r="N1244" s="3" t="s">
        <v>26</v>
      </c>
      <c r="O1244" s="5">
        <v>2</v>
      </c>
      <c r="P1244" s="3" t="s">
        <v>23</v>
      </c>
      <c r="Q1244" s="5"/>
    </row>
    <row r="1245" spans="1:17" ht="31">
      <c r="A1245" s="5">
        <v>1240</v>
      </c>
      <c r="B1245" s="6" t="s">
        <v>16</v>
      </c>
      <c r="C1245" s="5" t="str">
        <f>HYPERLINK("http://data.overheid.nl/data/dataset/bladoverzicht-rivierkaarten-1e-druk-serie4","Bladoverzicht rivierkaarten 1e druk serie4")</f>
        <v>Bladoverzicht rivierkaarten 1e druk serie4</v>
      </c>
      <c r="D1245" s="6" t="s">
        <v>17</v>
      </c>
      <c r="E1245" s="5" t="s">
        <v>18</v>
      </c>
      <c r="F1245" s="6" t="s">
        <v>813</v>
      </c>
      <c r="G1245" s="5" t="s">
        <v>757</v>
      </c>
      <c r="H1245" s="6" t="s">
        <v>20</v>
      </c>
      <c r="I1245" s="5" t="s">
        <v>21</v>
      </c>
      <c r="J1245" s="4" t="s">
        <v>22</v>
      </c>
      <c r="K1245" s="2" t="s">
        <v>23</v>
      </c>
      <c r="L1245" s="6" t="s">
        <v>24</v>
      </c>
      <c r="M1245" s="5" t="s">
        <v>25</v>
      </c>
      <c r="N1245" s="3" t="s">
        <v>26</v>
      </c>
      <c r="O1245" s="5">
        <v>2</v>
      </c>
      <c r="P1245" s="3" t="s">
        <v>23</v>
      </c>
      <c r="Q1245" s="5"/>
    </row>
    <row r="1246" spans="1:17" ht="31">
      <c r="A1246" s="5">
        <v>1241</v>
      </c>
      <c r="B1246" s="6" t="s">
        <v>16</v>
      </c>
      <c r="C1246" s="5" t="str">
        <f>HYPERLINK("http://data.overheid.nl/data/dataset/bladoverzicht-rivierkaarten-1e-druk-serie3","Bladoverzicht rivierkaarten 1e druk serie3")</f>
        <v>Bladoverzicht rivierkaarten 1e druk serie3</v>
      </c>
      <c r="D1246" s="6" t="s">
        <v>17</v>
      </c>
      <c r="E1246" s="5" t="s">
        <v>18</v>
      </c>
      <c r="F1246" s="6" t="s">
        <v>813</v>
      </c>
      <c r="G1246" s="5" t="s">
        <v>757</v>
      </c>
      <c r="H1246" s="6" t="s">
        <v>20</v>
      </c>
      <c r="I1246" s="5" t="s">
        <v>21</v>
      </c>
      <c r="J1246" s="4" t="s">
        <v>22</v>
      </c>
      <c r="K1246" s="2" t="s">
        <v>23</v>
      </c>
      <c r="L1246" s="6" t="s">
        <v>24</v>
      </c>
      <c r="M1246" s="5" t="s">
        <v>25</v>
      </c>
      <c r="N1246" s="3" t="s">
        <v>26</v>
      </c>
      <c r="O1246" s="5">
        <v>2</v>
      </c>
      <c r="P1246" s="3" t="s">
        <v>23</v>
      </c>
      <c r="Q1246" s="5"/>
    </row>
    <row r="1247" spans="1:17" ht="31">
      <c r="A1247" s="5">
        <v>1242</v>
      </c>
      <c r="B1247" s="6" t="s">
        <v>16</v>
      </c>
      <c r="C1247" s="5" t="str">
        <f>HYPERLINK("http://data.overheid.nl/data/dataset/bladoverzicht-rivierkaarten-1e-druk-serie2","Bladoverzicht rivierkaarten 1e druk serie2")</f>
        <v>Bladoverzicht rivierkaarten 1e druk serie2</v>
      </c>
      <c r="D1247" s="6" t="s">
        <v>17</v>
      </c>
      <c r="E1247" s="5" t="s">
        <v>18</v>
      </c>
      <c r="F1247" s="6" t="s">
        <v>813</v>
      </c>
      <c r="G1247" s="5" t="s">
        <v>757</v>
      </c>
      <c r="H1247" s="6" t="s">
        <v>20</v>
      </c>
      <c r="I1247" s="5" t="s">
        <v>21</v>
      </c>
      <c r="J1247" s="4" t="s">
        <v>22</v>
      </c>
      <c r="K1247" s="2" t="s">
        <v>23</v>
      </c>
      <c r="L1247" s="6" t="s">
        <v>24</v>
      </c>
      <c r="M1247" s="5" t="s">
        <v>25</v>
      </c>
      <c r="N1247" s="3" t="s">
        <v>26</v>
      </c>
      <c r="O1247" s="5">
        <v>2</v>
      </c>
      <c r="P1247" s="3" t="s">
        <v>23</v>
      </c>
      <c r="Q1247" s="5"/>
    </row>
    <row r="1248" spans="1:17" ht="31">
      <c r="A1248" s="5">
        <v>1243</v>
      </c>
      <c r="B1248" s="6" t="s">
        <v>16</v>
      </c>
      <c r="C1248" s="5" t="str">
        <f>HYPERLINK("http://data.overheid.nl/data/dataset/bladoverzicht-rivierkaarten-1e-druk-serie1","Bladoverzicht rivierkaarten 1e druk serie1")</f>
        <v>Bladoverzicht rivierkaarten 1e druk serie1</v>
      </c>
      <c r="D1248" s="6" t="s">
        <v>17</v>
      </c>
      <c r="E1248" s="5" t="s">
        <v>18</v>
      </c>
      <c r="F1248" s="6" t="s">
        <v>813</v>
      </c>
      <c r="G1248" s="5" t="s">
        <v>757</v>
      </c>
      <c r="H1248" s="6" t="s">
        <v>20</v>
      </c>
      <c r="I1248" s="5" t="s">
        <v>21</v>
      </c>
      <c r="J1248" s="4" t="s">
        <v>22</v>
      </c>
      <c r="K1248" s="2" t="s">
        <v>23</v>
      </c>
      <c r="L1248" s="6" t="s">
        <v>24</v>
      </c>
      <c r="M1248" s="5" t="s">
        <v>25</v>
      </c>
      <c r="N1248" s="3" t="s">
        <v>26</v>
      </c>
      <c r="O1248" s="5">
        <v>2</v>
      </c>
      <c r="P1248" s="3" t="s">
        <v>23</v>
      </c>
      <c r="Q1248" s="5"/>
    </row>
    <row r="1249" spans="1:17" ht="62">
      <c r="A1249" s="5">
        <v>1244</v>
      </c>
      <c r="B1249" s="6" t="s">
        <v>16</v>
      </c>
      <c r="C1249" s="5" t="str">
        <f>HYPERLINK("http://data.overheid.nl/data/dataset/overzicht-vlieglijnen-kribben-waal-2009","Overzicht vlieglijnen kribben Waal 2009")</f>
        <v>Overzicht vlieglijnen kribben Waal 2009</v>
      </c>
      <c r="D1249" s="6" t="s">
        <v>17</v>
      </c>
      <c r="E1249" s="5" t="s">
        <v>18</v>
      </c>
      <c r="F1249" s="6" t="s">
        <v>813</v>
      </c>
      <c r="G1249" s="5" t="s">
        <v>758</v>
      </c>
      <c r="H1249" s="6" t="s">
        <v>20</v>
      </c>
      <c r="I1249" s="5" t="s">
        <v>21</v>
      </c>
      <c r="J1249" s="4" t="s">
        <v>22</v>
      </c>
      <c r="K1249" s="2" t="s">
        <v>23</v>
      </c>
      <c r="L1249" s="6" t="s">
        <v>24</v>
      </c>
      <c r="M1249" s="5" t="s">
        <v>25</v>
      </c>
      <c r="N1249" s="3" t="s">
        <v>26</v>
      </c>
      <c r="O1249" s="5">
        <v>2</v>
      </c>
      <c r="P1249" s="3" t="s">
        <v>23</v>
      </c>
      <c r="Q1249" s="5"/>
    </row>
    <row r="1250" spans="1:17" ht="62">
      <c r="A1250" s="5">
        <v>1245</v>
      </c>
      <c r="B1250" s="6" t="s">
        <v>16</v>
      </c>
      <c r="C1250" s="5" t="str">
        <f>HYPERLINK("http://data.overheid.nl/data/dataset/overzicht-vlieglijnen-kribben-maas-2009","Overzicht vlieglijnen kribben Maas 2009")</f>
        <v>Overzicht vlieglijnen kribben Maas 2009</v>
      </c>
      <c r="D1250" s="6" t="s">
        <v>17</v>
      </c>
      <c r="E1250" s="5" t="s">
        <v>18</v>
      </c>
      <c r="F1250" s="6" t="s">
        <v>813</v>
      </c>
      <c r="G1250" s="5" t="s">
        <v>759</v>
      </c>
      <c r="H1250" s="6" t="s">
        <v>20</v>
      </c>
      <c r="I1250" s="5" t="s">
        <v>21</v>
      </c>
      <c r="J1250" s="4" t="s">
        <v>22</v>
      </c>
      <c r="K1250" s="2" t="s">
        <v>23</v>
      </c>
      <c r="L1250" s="6" t="s">
        <v>24</v>
      </c>
      <c r="M1250" s="5" t="s">
        <v>25</v>
      </c>
      <c r="N1250" s="3" t="s">
        <v>26</v>
      </c>
      <c r="O1250" s="5">
        <v>2</v>
      </c>
      <c r="P1250" s="3" t="s">
        <v>23</v>
      </c>
      <c r="Q1250" s="5"/>
    </row>
    <row r="1251" spans="1:17" ht="62">
      <c r="A1251" s="5">
        <v>1246</v>
      </c>
      <c r="B1251" s="6" t="s">
        <v>16</v>
      </c>
      <c r="C1251" s="5" t="str">
        <f>HYPERLINK("http://data.overheid.nl/data/dataset/overzicht-vlieglijnen-kribben-ijssel-en-nederrijn-2009","Overzicht vlieglijnen kribben IJssel en Nederrijn 2009")</f>
        <v>Overzicht vlieglijnen kribben IJssel en Nederrijn 2009</v>
      </c>
      <c r="D1251" s="6" t="s">
        <v>17</v>
      </c>
      <c r="E1251" s="5" t="s">
        <v>18</v>
      </c>
      <c r="F1251" s="6" t="s">
        <v>813</v>
      </c>
      <c r="G1251" s="5" t="s">
        <v>760</v>
      </c>
      <c r="H1251" s="6" t="s">
        <v>20</v>
      </c>
      <c r="I1251" s="5" t="s">
        <v>21</v>
      </c>
      <c r="J1251" s="4" t="s">
        <v>22</v>
      </c>
      <c r="K1251" s="2" t="s">
        <v>23</v>
      </c>
      <c r="L1251" s="6" t="s">
        <v>24</v>
      </c>
      <c r="M1251" s="5" t="s">
        <v>25</v>
      </c>
      <c r="N1251" s="3" t="s">
        <v>26</v>
      </c>
      <c r="O1251" s="5">
        <v>2</v>
      </c>
      <c r="P1251" s="3" t="s">
        <v>23</v>
      </c>
      <c r="Q1251" s="5"/>
    </row>
    <row r="1252" spans="1:17" ht="124">
      <c r="A1252" s="5">
        <v>1247</v>
      </c>
      <c r="B1252" s="6" t="s">
        <v>16</v>
      </c>
      <c r="C1252" s="5" t="str">
        <f>HYPERLINK("http://data.overheid.nl/data/dataset/digitaal-topografisch-bestand-wegen-1993-2000-lijnen","Digitaal Topografisch Bestand Wegen 1993-2000 lijnen")</f>
        <v>Digitaal Topografisch Bestand Wegen 1993-2000 lijnen</v>
      </c>
      <c r="D1252" s="6" t="s">
        <v>17</v>
      </c>
      <c r="E1252" s="5" t="s">
        <v>18</v>
      </c>
      <c r="F1252" s="6" t="s">
        <v>813</v>
      </c>
      <c r="G1252" s="5" t="s">
        <v>754</v>
      </c>
      <c r="H1252" s="6" t="s">
        <v>20</v>
      </c>
      <c r="I1252" s="5" t="s">
        <v>21</v>
      </c>
      <c r="J1252" s="4" t="s">
        <v>22</v>
      </c>
      <c r="K1252" s="2" t="s">
        <v>23</v>
      </c>
      <c r="L1252" s="6" t="s">
        <v>24</v>
      </c>
      <c r="M1252" s="5" t="s">
        <v>25</v>
      </c>
      <c r="N1252" s="3" t="s">
        <v>26</v>
      </c>
      <c r="O1252" s="5">
        <v>2</v>
      </c>
      <c r="P1252" s="3" t="s">
        <v>23</v>
      </c>
      <c r="Q1252" s="5"/>
    </row>
    <row r="1253" spans="1:17" ht="124">
      <c r="A1253" s="5">
        <v>1248</v>
      </c>
      <c r="B1253" s="6" t="s">
        <v>16</v>
      </c>
      <c r="C1253" s="5" t="str">
        <f>HYPERLINK("http://data.overheid.nl/data/dataset/rivierkaart-1e-herziening-serie-4-en-5","Rivierkaart 1e herziening serie 4 en 5")</f>
        <v>Rivierkaart 1e herziening serie 4 en 5</v>
      </c>
      <c r="D1253" s="6" t="s">
        <v>17</v>
      </c>
      <c r="E1253" s="5" t="s">
        <v>18</v>
      </c>
      <c r="F1253" s="6" t="s">
        <v>813</v>
      </c>
      <c r="G1253" s="5" t="s">
        <v>761</v>
      </c>
      <c r="H1253" s="6" t="s">
        <v>20</v>
      </c>
      <c r="I1253" s="5" t="s">
        <v>21</v>
      </c>
      <c r="J1253" s="4" t="s">
        <v>22</v>
      </c>
      <c r="K1253" s="2" t="s">
        <v>23</v>
      </c>
      <c r="L1253" s="6" t="s">
        <v>24</v>
      </c>
      <c r="M1253" s="5" t="s">
        <v>25</v>
      </c>
      <c r="N1253" s="3" t="s">
        <v>26</v>
      </c>
      <c r="O1253" s="5">
        <v>3</v>
      </c>
      <c r="P1253" s="3" t="s">
        <v>23</v>
      </c>
      <c r="Q1253" s="5"/>
    </row>
    <row r="1254" spans="1:17" ht="248">
      <c r="A1254" s="5">
        <v>1249</v>
      </c>
      <c r="B1254" s="6" t="s">
        <v>16</v>
      </c>
      <c r="C1254" s="5" t="str">
        <f>HYPERLINK("http://data.overheid.nl/data/dataset/rivierkaart-1e-druk-serie-1","Rivierkaart 1e druk serie 1")</f>
        <v>Rivierkaart 1e druk serie 1</v>
      </c>
      <c r="D1254" s="6" t="s">
        <v>17</v>
      </c>
      <c r="E1254" s="5" t="s">
        <v>18</v>
      </c>
      <c r="F1254" s="6" t="s">
        <v>813</v>
      </c>
      <c r="G1254" s="5" t="s">
        <v>762</v>
      </c>
      <c r="H1254" s="6" t="s">
        <v>20</v>
      </c>
      <c r="I1254" s="5" t="s">
        <v>21</v>
      </c>
      <c r="J1254" s="4" t="s">
        <v>22</v>
      </c>
      <c r="K1254" s="2" t="s">
        <v>23</v>
      </c>
      <c r="L1254" s="6" t="s">
        <v>24</v>
      </c>
      <c r="M1254" s="5" t="s">
        <v>25</v>
      </c>
      <c r="N1254" s="3" t="s">
        <v>26</v>
      </c>
      <c r="O1254" s="5">
        <v>5</v>
      </c>
      <c r="P1254" s="3" t="s">
        <v>23</v>
      </c>
      <c r="Q1254" s="5"/>
    </row>
    <row r="1255" spans="1:17" ht="31">
      <c r="A1255" s="5">
        <v>1250</v>
      </c>
      <c r="B1255" s="6" t="s">
        <v>16</v>
      </c>
      <c r="C1255" s="5" t="str">
        <f>HYPERLINK("http://data.overheid.nl/data/dataset/rijntakken-2008","rijntakken_2008")</f>
        <v>rijntakken_2008</v>
      </c>
      <c r="D1255" s="6" t="s">
        <v>17</v>
      </c>
      <c r="E1255" s="5" t="s">
        <v>18</v>
      </c>
      <c r="F1255" s="6" t="s">
        <v>813</v>
      </c>
      <c r="G1255" s="5" t="s">
        <v>763</v>
      </c>
      <c r="H1255" s="6" t="s">
        <v>20</v>
      </c>
      <c r="I1255" s="5" t="s">
        <v>21</v>
      </c>
      <c r="J1255" s="4" t="s">
        <v>22</v>
      </c>
      <c r="K1255" s="2" t="s">
        <v>23</v>
      </c>
      <c r="L1255" s="6" t="s">
        <v>24</v>
      </c>
      <c r="M1255" s="5" t="s">
        <v>25</v>
      </c>
      <c r="N1255" s="3" t="s">
        <v>26</v>
      </c>
      <c r="O1255" s="5">
        <v>2</v>
      </c>
      <c r="P1255" s="3" t="s">
        <v>23</v>
      </c>
      <c r="Q1255" s="5"/>
    </row>
    <row r="1256" spans="1:17" ht="62">
      <c r="A1256" s="5">
        <v>1251</v>
      </c>
      <c r="B1256" s="6" t="s">
        <v>16</v>
      </c>
      <c r="C1256" s="5" t="str">
        <f>HYPERLINK("http://data.overheid.nl/data/dataset/overzicht-vlieglijnen-westerschelde-2008","Overzicht vlieglijnen Westerschelde 2008")</f>
        <v>Overzicht vlieglijnen Westerschelde 2008</v>
      </c>
      <c r="D1256" s="6" t="s">
        <v>17</v>
      </c>
      <c r="E1256" s="5" t="s">
        <v>18</v>
      </c>
      <c r="F1256" s="6" t="s">
        <v>813</v>
      </c>
      <c r="G1256" s="5" t="s">
        <v>764</v>
      </c>
      <c r="H1256" s="6" t="s">
        <v>20</v>
      </c>
      <c r="I1256" s="5" t="s">
        <v>21</v>
      </c>
      <c r="J1256" s="4" t="s">
        <v>22</v>
      </c>
      <c r="K1256" s="2" t="s">
        <v>23</v>
      </c>
      <c r="L1256" s="6" t="s">
        <v>24</v>
      </c>
      <c r="M1256" s="5" t="s">
        <v>25</v>
      </c>
      <c r="N1256" s="3" t="s">
        <v>26</v>
      </c>
      <c r="O1256" s="5">
        <v>2</v>
      </c>
      <c r="P1256" s="3" t="s">
        <v>23</v>
      </c>
      <c r="Q1256" s="5"/>
    </row>
    <row r="1257" spans="1:17" ht="62">
      <c r="A1257" s="5">
        <v>1252</v>
      </c>
      <c r="B1257" s="6" t="s">
        <v>16</v>
      </c>
      <c r="C1257" s="5" t="str">
        <f>HYPERLINK("http://data.overheid.nl/data/dataset/overzicht-vlieglijnen-kribben-waal-2008","Overzicht vlieglijnen kribben Waal 2008")</f>
        <v>Overzicht vlieglijnen kribben Waal 2008</v>
      </c>
      <c r="D1257" s="6" t="s">
        <v>17</v>
      </c>
      <c r="E1257" s="5" t="s">
        <v>18</v>
      </c>
      <c r="F1257" s="6" t="s">
        <v>813</v>
      </c>
      <c r="G1257" s="5" t="s">
        <v>195</v>
      </c>
      <c r="H1257" s="6" t="s">
        <v>20</v>
      </c>
      <c r="I1257" s="5" t="s">
        <v>21</v>
      </c>
      <c r="J1257" s="4" t="s">
        <v>22</v>
      </c>
      <c r="K1257" s="2" t="s">
        <v>23</v>
      </c>
      <c r="L1257" s="6" t="s">
        <v>24</v>
      </c>
      <c r="M1257" s="5" t="s">
        <v>25</v>
      </c>
      <c r="N1257" s="3" t="s">
        <v>26</v>
      </c>
      <c r="O1257" s="5">
        <v>2</v>
      </c>
      <c r="P1257" s="3" t="s">
        <v>23</v>
      </c>
      <c r="Q1257" s="5"/>
    </row>
    <row r="1258" spans="1:17" ht="62">
      <c r="A1258" s="5">
        <v>1253</v>
      </c>
      <c r="B1258" s="6" t="s">
        <v>16</v>
      </c>
      <c r="C1258" s="5" t="str">
        <f>HYPERLINK("http://data.overheid.nl/data/dataset/overzicht-vlieglijnen-kribben-directie-zuid-holland-2008","Overzicht vlieglijnen kribben Directie Zuid Holland 2008")</f>
        <v>Overzicht vlieglijnen kribben Directie Zuid Holland 2008</v>
      </c>
      <c r="D1258" s="6" t="s">
        <v>17</v>
      </c>
      <c r="E1258" s="5" t="s">
        <v>18</v>
      </c>
      <c r="F1258" s="6" t="s">
        <v>813</v>
      </c>
      <c r="G1258" s="5" t="s">
        <v>195</v>
      </c>
      <c r="H1258" s="6" t="s">
        <v>20</v>
      </c>
      <c r="I1258" s="5" t="s">
        <v>21</v>
      </c>
      <c r="J1258" s="4" t="s">
        <v>22</v>
      </c>
      <c r="K1258" s="2" t="s">
        <v>23</v>
      </c>
      <c r="L1258" s="6" t="s">
        <v>24</v>
      </c>
      <c r="M1258" s="5" t="s">
        <v>25</v>
      </c>
      <c r="N1258" s="3" t="s">
        <v>26</v>
      </c>
      <c r="O1258" s="5">
        <v>2</v>
      </c>
      <c r="P1258" s="3" t="s">
        <v>23</v>
      </c>
      <c r="Q1258" s="5"/>
    </row>
    <row r="1259" spans="1:17" ht="62">
      <c r="A1259" s="5">
        <v>1254</v>
      </c>
      <c r="B1259" s="6" t="s">
        <v>16</v>
      </c>
      <c r="C1259" s="5" t="str">
        <f>HYPERLINK("http://data.overheid.nl/data/dataset/overzicht-vlieglijnen-kribben-directie-oost-nederland-2008","Overzicht vlieglijnen kribben Directie Oost Nederland 2008")</f>
        <v>Overzicht vlieglijnen kribben Directie Oost Nederland 2008</v>
      </c>
      <c r="D1259" s="6" t="s">
        <v>17</v>
      </c>
      <c r="E1259" s="5" t="s">
        <v>18</v>
      </c>
      <c r="F1259" s="6" t="s">
        <v>813</v>
      </c>
      <c r="G1259" s="5" t="s">
        <v>195</v>
      </c>
      <c r="H1259" s="6" t="s">
        <v>20</v>
      </c>
      <c r="I1259" s="5" t="s">
        <v>21</v>
      </c>
      <c r="J1259" s="4" t="s">
        <v>22</v>
      </c>
      <c r="K1259" s="2" t="s">
        <v>23</v>
      </c>
      <c r="L1259" s="6" t="s">
        <v>24</v>
      </c>
      <c r="M1259" s="5" t="s">
        <v>25</v>
      </c>
      <c r="N1259" s="3" t="s">
        <v>26</v>
      </c>
      <c r="O1259" s="5">
        <v>2</v>
      </c>
      <c r="P1259" s="3" t="s">
        <v>23</v>
      </c>
      <c r="Q1259" s="5"/>
    </row>
    <row r="1260" spans="1:17" ht="31">
      <c r="A1260" s="5">
        <v>1255</v>
      </c>
      <c r="B1260" s="6" t="s">
        <v>16</v>
      </c>
      <c r="C1260" s="5" t="str">
        <f>HYPERLINK("http://data.overheid.nl/data/dataset/oosterschelde-2008","oosterschelde_2008")</f>
        <v>oosterschelde_2008</v>
      </c>
      <c r="D1260" s="6" t="s">
        <v>17</v>
      </c>
      <c r="E1260" s="5" t="s">
        <v>18</v>
      </c>
      <c r="F1260" s="6" t="s">
        <v>813</v>
      </c>
      <c r="G1260" s="5" t="s">
        <v>765</v>
      </c>
      <c r="H1260" s="6" t="s">
        <v>20</v>
      </c>
      <c r="I1260" s="5" t="s">
        <v>21</v>
      </c>
      <c r="J1260" s="4" t="s">
        <v>22</v>
      </c>
      <c r="K1260" s="2" t="s">
        <v>23</v>
      </c>
      <c r="L1260" s="6" t="s">
        <v>24</v>
      </c>
      <c r="M1260" s="5" t="s">
        <v>25</v>
      </c>
      <c r="N1260" s="3" t="s">
        <v>26</v>
      </c>
      <c r="O1260" s="5">
        <v>2</v>
      </c>
      <c r="P1260" s="3" t="s">
        <v>23</v>
      </c>
      <c r="Q1260" s="5"/>
    </row>
    <row r="1261" spans="1:17" ht="201.5">
      <c r="A1261" s="5">
        <v>1256</v>
      </c>
      <c r="B1261" s="6" t="s">
        <v>16</v>
      </c>
      <c r="C1261" s="5" t="str">
        <f>HYPERLINK("http://data.overheid.nl/data/dataset/maas-2008","maas_2008")</f>
        <v>maas_2008</v>
      </c>
      <c r="D1261" s="6" t="s">
        <v>17</v>
      </c>
      <c r="E1261" s="5" t="s">
        <v>18</v>
      </c>
      <c r="F1261" s="6" t="s">
        <v>813</v>
      </c>
      <c r="G1261" s="5" t="s">
        <v>766</v>
      </c>
      <c r="H1261" s="6" t="s">
        <v>20</v>
      </c>
      <c r="I1261" s="5" t="s">
        <v>21</v>
      </c>
      <c r="J1261" s="4" t="s">
        <v>22</v>
      </c>
      <c r="K1261" s="2" t="s">
        <v>23</v>
      </c>
      <c r="L1261" s="6" t="s">
        <v>24</v>
      </c>
      <c r="M1261" s="5" t="s">
        <v>25</v>
      </c>
      <c r="N1261" s="3" t="s">
        <v>26</v>
      </c>
      <c r="O1261" s="5">
        <v>2</v>
      </c>
      <c r="P1261" s="3" t="s">
        <v>23</v>
      </c>
      <c r="Q1261" s="5"/>
    </row>
    <row r="1262" spans="1:17" ht="201.5">
      <c r="A1262" s="5">
        <v>1257</v>
      </c>
      <c r="B1262" s="6" t="s">
        <v>16</v>
      </c>
      <c r="C1262" s="5" t="str">
        <f>HYPERLINK("http://data.overheid.nl/data/dataset/hoogtebestand-wadden-2008","Hoogtebestand Wadden 2008")</f>
        <v>Hoogtebestand Wadden 2008</v>
      </c>
      <c r="D1262" s="6" t="s">
        <v>17</v>
      </c>
      <c r="E1262" s="5" t="s">
        <v>18</v>
      </c>
      <c r="F1262" s="6" t="s">
        <v>813</v>
      </c>
      <c r="G1262" s="5" t="s">
        <v>767</v>
      </c>
      <c r="H1262" s="6" t="s">
        <v>20</v>
      </c>
      <c r="I1262" s="5" t="s">
        <v>21</v>
      </c>
      <c r="J1262" s="4" t="s">
        <v>22</v>
      </c>
      <c r="K1262" s="2" t="s">
        <v>23</v>
      </c>
      <c r="L1262" s="6" t="s">
        <v>24</v>
      </c>
      <c r="M1262" s="5" t="s">
        <v>25</v>
      </c>
      <c r="N1262" s="3" t="s">
        <v>26</v>
      </c>
      <c r="O1262" s="5">
        <v>2</v>
      </c>
      <c r="P1262" s="3" t="s">
        <v>23</v>
      </c>
      <c r="Q1262" s="5"/>
    </row>
    <row r="1263" spans="1:17" ht="201.5">
      <c r="A1263" s="5">
        <v>1258</v>
      </c>
      <c r="B1263" s="6" t="s">
        <v>16</v>
      </c>
      <c r="C1263" s="5" t="str">
        <f>HYPERLINK("http://data.overheid.nl/data/dataset/hoogtebestand-voordelta-2008","Hoogtebestand Voordelta 2008")</f>
        <v>Hoogtebestand Voordelta 2008</v>
      </c>
      <c r="D1263" s="6" t="s">
        <v>17</v>
      </c>
      <c r="E1263" s="5" t="s">
        <v>18</v>
      </c>
      <c r="F1263" s="6" t="s">
        <v>813</v>
      </c>
      <c r="G1263" s="5" t="s">
        <v>768</v>
      </c>
      <c r="H1263" s="6" t="s">
        <v>20</v>
      </c>
      <c r="I1263" s="5" t="s">
        <v>21</v>
      </c>
      <c r="J1263" s="4" t="s">
        <v>22</v>
      </c>
      <c r="K1263" s="2" t="s">
        <v>23</v>
      </c>
      <c r="L1263" s="6" t="s">
        <v>24</v>
      </c>
      <c r="M1263" s="5" t="s">
        <v>25</v>
      </c>
      <c r="N1263" s="3" t="s">
        <v>26</v>
      </c>
      <c r="O1263" s="5">
        <v>2</v>
      </c>
      <c r="P1263" s="3" t="s">
        <v>23</v>
      </c>
      <c r="Q1263" s="5"/>
    </row>
    <row r="1264" spans="1:17" ht="409.5">
      <c r="A1264" s="5">
        <v>1259</v>
      </c>
      <c r="B1264" s="6" t="s">
        <v>16</v>
      </c>
      <c r="C1264" s="5" t="str">
        <f>HYPERLINK("http://data.overheid.nl/data/dataset/hoogtebestand-platen-wadden-2009","Hoogtebestand platen Wadden 2009")</f>
        <v>Hoogtebestand platen Wadden 2009</v>
      </c>
      <c r="D1264" s="6" t="s">
        <v>17</v>
      </c>
      <c r="E1264" s="5" t="s">
        <v>18</v>
      </c>
      <c r="F1264" s="6" t="s">
        <v>813</v>
      </c>
      <c r="G1264" s="5" t="s">
        <v>769</v>
      </c>
      <c r="H1264" s="6" t="s">
        <v>20</v>
      </c>
      <c r="I1264" s="5" t="s">
        <v>21</v>
      </c>
      <c r="J1264" s="4" t="s">
        <v>22</v>
      </c>
      <c r="K1264" s="2" t="s">
        <v>23</v>
      </c>
      <c r="L1264" s="6" t="s">
        <v>24</v>
      </c>
      <c r="M1264" s="5" t="s">
        <v>25</v>
      </c>
      <c r="N1264" s="3" t="s">
        <v>26</v>
      </c>
      <c r="O1264" s="5">
        <v>2</v>
      </c>
      <c r="P1264" s="3" t="s">
        <v>23</v>
      </c>
      <c r="Q1264" s="5"/>
    </row>
    <row r="1265" spans="1:17" ht="139.5">
      <c r="A1265" s="5">
        <v>1260</v>
      </c>
      <c r="B1265" s="6" t="s">
        <v>16</v>
      </c>
      <c r="C1265" s="5" t="str">
        <f>HYPERLINK("http://data.overheid.nl/data/dataset/ecotopen-vlakken-derde-cyclus","Ecotopen vlakken derde cyclus")</f>
        <v>Ecotopen vlakken derde cyclus</v>
      </c>
      <c r="D1265" s="6" t="s">
        <v>17</v>
      </c>
      <c r="E1265" s="5" t="s">
        <v>18</v>
      </c>
      <c r="F1265" s="6" t="s">
        <v>813</v>
      </c>
      <c r="G1265" s="5" t="s">
        <v>770</v>
      </c>
      <c r="H1265" s="6" t="s">
        <v>20</v>
      </c>
      <c r="I1265" s="5" t="s">
        <v>21</v>
      </c>
      <c r="J1265" s="4" t="s">
        <v>22</v>
      </c>
      <c r="K1265" s="2" t="s">
        <v>23</v>
      </c>
      <c r="L1265" s="6" t="s">
        <v>24</v>
      </c>
      <c r="M1265" s="5" t="s">
        <v>25</v>
      </c>
      <c r="N1265" s="3" t="s">
        <v>26</v>
      </c>
      <c r="O1265" s="5">
        <v>4</v>
      </c>
      <c r="P1265" s="3" t="s">
        <v>23</v>
      </c>
      <c r="Q1265" s="5"/>
    </row>
    <row r="1266" spans="1:17" ht="77.5">
      <c r="A1266" s="5">
        <v>1261</v>
      </c>
      <c r="B1266" s="6" t="s">
        <v>16</v>
      </c>
      <c r="C1266" s="5" t="str">
        <f>HYPERLINK("http://data.overheid.nl/data/dataset/beheerkaart-nat-thema-verkeersvoorziening","Beheerkaart Nat, thema Verkeersvoorziening")</f>
        <v>Beheerkaart Nat, thema Verkeersvoorziening</v>
      </c>
      <c r="D1266" s="6" t="s">
        <v>17</v>
      </c>
      <c r="E1266" s="5" t="s">
        <v>18</v>
      </c>
      <c r="F1266" s="6" t="s">
        <v>813</v>
      </c>
      <c r="G1266" s="5" t="s">
        <v>771</v>
      </c>
      <c r="H1266" s="6" t="s">
        <v>20</v>
      </c>
      <c r="I1266" s="5" t="s">
        <v>21</v>
      </c>
      <c r="J1266" s="4" t="s">
        <v>22</v>
      </c>
      <c r="K1266" s="2" t="s">
        <v>23</v>
      </c>
      <c r="L1266" s="6" t="s">
        <v>24</v>
      </c>
      <c r="M1266" s="5" t="s">
        <v>25</v>
      </c>
      <c r="N1266" s="3" t="s">
        <v>26</v>
      </c>
      <c r="O1266" s="5">
        <v>84</v>
      </c>
      <c r="P1266" s="3" t="s">
        <v>23</v>
      </c>
      <c r="Q1266" s="5"/>
    </row>
    <row r="1267" spans="1:17" ht="46.5">
      <c r="A1267" s="5">
        <v>1262</v>
      </c>
      <c r="B1267" s="6" t="s">
        <v>16</v>
      </c>
      <c r="C1267" s="5" t="str">
        <f>HYPERLINK("http://data.overheid.nl/data/dataset/beheerkaart-nat-thema-oever","Beheerkaart Nat, thema Oever")</f>
        <v>Beheerkaart Nat, thema Oever</v>
      </c>
      <c r="D1267" s="6" t="s">
        <v>17</v>
      </c>
      <c r="E1267" s="5" t="s">
        <v>18</v>
      </c>
      <c r="F1267" s="6" t="s">
        <v>813</v>
      </c>
      <c r="G1267" s="5" t="s">
        <v>772</v>
      </c>
      <c r="H1267" s="6" t="s">
        <v>20</v>
      </c>
      <c r="I1267" s="5" t="s">
        <v>21</v>
      </c>
      <c r="J1267" s="4" t="s">
        <v>22</v>
      </c>
      <c r="K1267" s="2" t="s">
        <v>23</v>
      </c>
      <c r="L1267" s="6" t="s">
        <v>24</v>
      </c>
      <c r="M1267" s="5" t="s">
        <v>25</v>
      </c>
      <c r="N1267" s="3" t="s">
        <v>26</v>
      </c>
      <c r="O1267" s="5">
        <v>96</v>
      </c>
      <c r="P1267" s="3" t="s">
        <v>23</v>
      </c>
      <c r="Q1267" s="5"/>
    </row>
    <row r="1268" spans="1:17" ht="77.5">
      <c r="A1268" s="5">
        <v>1263</v>
      </c>
      <c r="B1268" s="6" t="s">
        <v>16</v>
      </c>
      <c r="C1268" s="5" t="str">
        <f>HYPERLINK("http://data.overheid.nl/data/dataset/beheerkaart-nat-thema-kunstwerk","Beheerkaart Nat, thema Kunstwerk")</f>
        <v>Beheerkaart Nat, thema Kunstwerk</v>
      </c>
      <c r="D1268" s="6" t="s">
        <v>17</v>
      </c>
      <c r="E1268" s="5" t="s">
        <v>18</v>
      </c>
      <c r="F1268" s="6" t="s">
        <v>813</v>
      </c>
      <c r="G1268" s="5" t="s">
        <v>773</v>
      </c>
      <c r="H1268" s="6" t="s">
        <v>20</v>
      </c>
      <c r="I1268" s="5" t="s">
        <v>21</v>
      </c>
      <c r="J1268" s="4" t="s">
        <v>22</v>
      </c>
      <c r="K1268" s="2" t="s">
        <v>23</v>
      </c>
      <c r="L1268" s="6" t="s">
        <v>24</v>
      </c>
      <c r="M1268" s="5" t="s">
        <v>25</v>
      </c>
      <c r="N1268" s="3" t="s">
        <v>26</v>
      </c>
      <c r="O1268" s="5">
        <v>194</v>
      </c>
      <c r="P1268" s="3" t="s">
        <v>23</v>
      </c>
      <c r="Q1268" s="5"/>
    </row>
    <row r="1269" spans="1:17" ht="62">
      <c r="A1269" s="5">
        <v>1264</v>
      </c>
      <c r="B1269" s="6" t="s">
        <v>16</v>
      </c>
      <c r="C1269" s="5" t="str">
        <f>HYPERLINK("http://data.overheid.nl/data/dataset/beheerkaart-nat-thema-exploitatie","Beheerkaart Nat, thema Exploitatie")</f>
        <v>Beheerkaart Nat, thema Exploitatie</v>
      </c>
      <c r="D1269" s="6" t="s">
        <v>17</v>
      </c>
      <c r="E1269" s="5" t="s">
        <v>18</v>
      </c>
      <c r="F1269" s="6" t="s">
        <v>813</v>
      </c>
      <c r="G1269" s="5" t="s">
        <v>774</v>
      </c>
      <c r="H1269" s="6" t="s">
        <v>20</v>
      </c>
      <c r="I1269" s="5" t="s">
        <v>21</v>
      </c>
      <c r="J1269" s="4" t="s">
        <v>22</v>
      </c>
      <c r="K1269" s="2" t="s">
        <v>23</v>
      </c>
      <c r="L1269" s="6" t="s">
        <v>24</v>
      </c>
      <c r="M1269" s="5" t="s">
        <v>25</v>
      </c>
      <c r="N1269" s="3" t="s">
        <v>26</v>
      </c>
      <c r="O1269" s="5">
        <v>42</v>
      </c>
      <c r="P1269" s="3" t="s">
        <v>23</v>
      </c>
      <c r="Q1269" s="5"/>
    </row>
    <row r="1270" spans="1:17" ht="62">
      <c r="A1270" s="5">
        <v>1265</v>
      </c>
      <c r="B1270" s="6" t="s">
        <v>16</v>
      </c>
      <c r="C1270" s="5" t="str">
        <f>HYPERLINK("http://data.overheid.nl/data/dataset/beheerkaart-nat-thema-bodems","Beheerkaart Nat, thema Bodems")</f>
        <v>Beheerkaart Nat, thema Bodems</v>
      </c>
      <c r="D1270" s="6" t="s">
        <v>17</v>
      </c>
      <c r="E1270" s="5" t="s">
        <v>18</v>
      </c>
      <c r="F1270" s="6" t="s">
        <v>813</v>
      </c>
      <c r="G1270" s="5" t="s">
        <v>775</v>
      </c>
      <c r="H1270" s="6" t="s">
        <v>20</v>
      </c>
      <c r="I1270" s="5" t="s">
        <v>21</v>
      </c>
      <c r="J1270" s="4" t="s">
        <v>22</v>
      </c>
      <c r="K1270" s="2" t="s">
        <v>23</v>
      </c>
      <c r="L1270" s="6" t="s">
        <v>24</v>
      </c>
      <c r="M1270" s="5" t="s">
        <v>25</v>
      </c>
      <c r="N1270" s="3" t="s">
        <v>26</v>
      </c>
      <c r="O1270" s="5">
        <v>62</v>
      </c>
      <c r="P1270" s="3" t="s">
        <v>23</v>
      </c>
      <c r="Q1270" s="5"/>
    </row>
    <row r="1271" spans="1:17" ht="62">
      <c r="A1271" s="5">
        <v>1266</v>
      </c>
      <c r="B1271" s="6" t="s">
        <v>16</v>
      </c>
      <c r="C1271" s="5" t="str">
        <f>HYPERLINK("http://data.overheid.nl/data/dataset/beheerkaart-nat-thema-water","Beheerkaart Nat, thema Water")</f>
        <v>Beheerkaart Nat, thema Water</v>
      </c>
      <c r="D1271" s="6" t="s">
        <v>17</v>
      </c>
      <c r="E1271" s="5" t="s">
        <v>18</v>
      </c>
      <c r="F1271" s="6" t="s">
        <v>813</v>
      </c>
      <c r="G1271" s="5" t="s">
        <v>776</v>
      </c>
      <c r="H1271" s="6" t="s">
        <v>20</v>
      </c>
      <c r="I1271" s="5" t="s">
        <v>21</v>
      </c>
      <c r="J1271" s="4" t="s">
        <v>22</v>
      </c>
      <c r="K1271" s="2" t="s">
        <v>23</v>
      </c>
      <c r="L1271" s="6" t="s">
        <v>24</v>
      </c>
      <c r="M1271" s="5" t="s">
        <v>25</v>
      </c>
      <c r="N1271" s="3" t="s">
        <v>777</v>
      </c>
      <c r="O1271" s="5">
        <v>1320</v>
      </c>
      <c r="P1271" s="3" t="s">
        <v>23</v>
      </c>
      <c r="Q1271" s="5"/>
    </row>
    <row r="1272" spans="1:17" ht="31">
      <c r="A1272" s="5">
        <v>1267</v>
      </c>
      <c r="B1272" s="6" t="s">
        <v>16</v>
      </c>
      <c r="C1272" s="5" t="str">
        <f>HYPERLINK("http://data.overheid.nl/data/dataset/zuidkust-terschelling-2007","zuidkust_terschelling_2007")</f>
        <v>zuidkust_terschelling_2007</v>
      </c>
      <c r="D1272" s="6" t="s">
        <v>17</v>
      </c>
      <c r="E1272" s="5" t="s">
        <v>18</v>
      </c>
      <c r="F1272" s="6" t="s">
        <v>813</v>
      </c>
      <c r="G1272" s="5" t="s">
        <v>778</v>
      </c>
      <c r="H1272" s="6" t="s">
        <v>20</v>
      </c>
      <c r="I1272" s="5" t="s">
        <v>21</v>
      </c>
      <c r="J1272" s="4" t="s">
        <v>22</v>
      </c>
      <c r="K1272" s="2" t="s">
        <v>23</v>
      </c>
      <c r="L1272" s="6" t="s">
        <v>24</v>
      </c>
      <c r="M1272" s="5" t="s">
        <v>25</v>
      </c>
      <c r="N1272" s="3" t="s">
        <v>26</v>
      </c>
      <c r="O1272" s="5">
        <v>2</v>
      </c>
      <c r="P1272" s="3" t="s">
        <v>23</v>
      </c>
      <c r="Q1272" s="5"/>
    </row>
    <row r="1273" spans="1:17" ht="31">
      <c r="A1273" s="5">
        <v>1268</v>
      </c>
      <c r="B1273" s="6" t="s">
        <v>16</v>
      </c>
      <c r="C1273" s="5" t="str">
        <f>HYPERLINK("http://data.overheid.nl/data/dataset/voolhok-2007","voolhok_2007")</f>
        <v>voolhok_2007</v>
      </c>
      <c r="D1273" s="6" t="s">
        <v>17</v>
      </c>
      <c r="E1273" s="5" t="s">
        <v>18</v>
      </c>
      <c r="F1273" s="6" t="s">
        <v>813</v>
      </c>
      <c r="G1273" s="5" t="s">
        <v>779</v>
      </c>
      <c r="H1273" s="6" t="s">
        <v>20</v>
      </c>
      <c r="I1273" s="5" t="s">
        <v>21</v>
      </c>
      <c r="J1273" s="4" t="s">
        <v>22</v>
      </c>
      <c r="K1273" s="2" t="s">
        <v>23</v>
      </c>
      <c r="L1273" s="6" t="s">
        <v>24</v>
      </c>
      <c r="M1273" s="5" t="s">
        <v>25</v>
      </c>
      <c r="N1273" s="3" t="s">
        <v>26</v>
      </c>
      <c r="O1273" s="5">
        <v>2</v>
      </c>
      <c r="P1273" s="3" t="s">
        <v>23</v>
      </c>
      <c r="Q1273" s="5"/>
    </row>
    <row r="1274" spans="1:17" ht="62">
      <c r="A1274" s="5">
        <v>1269</v>
      </c>
      <c r="B1274" s="6" t="s">
        <v>16</v>
      </c>
      <c r="C1274" s="5" t="str">
        <f>HYPERLINK("http://data.overheid.nl/data/dataset/overzicht-vlieglijnen-oosterschelde-2007","Overzicht vlieglijnen Oosterschelde 2007")</f>
        <v>Overzicht vlieglijnen Oosterschelde 2007</v>
      </c>
      <c r="D1274" s="6" t="s">
        <v>17</v>
      </c>
      <c r="E1274" s="5" t="s">
        <v>18</v>
      </c>
      <c r="F1274" s="6" t="s">
        <v>813</v>
      </c>
      <c r="G1274" s="5" t="s">
        <v>780</v>
      </c>
      <c r="H1274" s="6" t="s">
        <v>20</v>
      </c>
      <c r="I1274" s="5" t="s">
        <v>21</v>
      </c>
      <c r="J1274" s="4" t="s">
        <v>22</v>
      </c>
      <c r="K1274" s="2" t="s">
        <v>23</v>
      </c>
      <c r="L1274" s="6" t="s">
        <v>24</v>
      </c>
      <c r="M1274" s="5" t="s">
        <v>25</v>
      </c>
      <c r="N1274" s="3" t="s">
        <v>26</v>
      </c>
      <c r="O1274" s="5">
        <v>2</v>
      </c>
      <c r="P1274" s="3" t="s">
        <v>23</v>
      </c>
      <c r="Q1274" s="5"/>
    </row>
    <row r="1275" spans="1:17" ht="155">
      <c r="A1275" s="5">
        <v>1270</v>
      </c>
      <c r="B1275" s="6" t="s">
        <v>16</v>
      </c>
      <c r="C1275" s="5" t="str">
        <f>HYPERLINK("http://data.overheid.nl/data/dataset/nationaal-wegen-bestand-wegen-wegvakken-2007","Nationaal Wegen Bestand Wegen wegvakken 2007")</f>
        <v>Nationaal Wegen Bestand Wegen wegvakken 2007</v>
      </c>
      <c r="D1275" s="6" t="s">
        <v>17</v>
      </c>
      <c r="E1275" s="5" t="s">
        <v>18</v>
      </c>
      <c r="F1275" s="6" t="s">
        <v>813</v>
      </c>
      <c r="G1275" s="5" t="s">
        <v>114</v>
      </c>
      <c r="H1275" s="6" t="s">
        <v>20</v>
      </c>
      <c r="I1275" s="5" t="s">
        <v>21</v>
      </c>
      <c r="J1275" s="4" t="s">
        <v>22</v>
      </c>
      <c r="K1275" s="2" t="s">
        <v>23</v>
      </c>
      <c r="L1275" s="6" t="s">
        <v>24</v>
      </c>
      <c r="M1275" s="5" t="s">
        <v>25</v>
      </c>
      <c r="N1275" s="3" t="s">
        <v>26</v>
      </c>
      <c r="O1275" s="5">
        <v>2</v>
      </c>
      <c r="P1275" s="3" t="s">
        <v>23</v>
      </c>
      <c r="Q1275" s="5"/>
    </row>
    <row r="1276" spans="1:17" ht="155">
      <c r="A1276" s="5">
        <v>1271</v>
      </c>
      <c r="B1276" s="6" t="s">
        <v>16</v>
      </c>
      <c r="C1276" s="5" t="str">
        <f>HYPERLINK("http://data.overheid.nl/data/dataset/nationaal-wegen-bestand-wegen-hectopunten-2007","Nationaal Wegen Bestand Wegen hectopunten 2007")</f>
        <v>Nationaal Wegen Bestand Wegen hectopunten 2007</v>
      </c>
      <c r="D1276" s="6" t="s">
        <v>17</v>
      </c>
      <c r="E1276" s="5" t="s">
        <v>18</v>
      </c>
      <c r="F1276" s="6" t="s">
        <v>813</v>
      </c>
      <c r="G1276" s="5" t="s">
        <v>95</v>
      </c>
      <c r="H1276" s="6" t="s">
        <v>20</v>
      </c>
      <c r="I1276" s="5" t="s">
        <v>21</v>
      </c>
      <c r="J1276" s="4" t="s">
        <v>22</v>
      </c>
      <c r="K1276" s="2" t="s">
        <v>23</v>
      </c>
      <c r="L1276" s="6" t="s">
        <v>24</v>
      </c>
      <c r="M1276" s="5" t="s">
        <v>25</v>
      </c>
      <c r="N1276" s="3" t="s">
        <v>26</v>
      </c>
      <c r="O1276" s="5">
        <v>2</v>
      </c>
      <c r="P1276" s="3" t="s">
        <v>23</v>
      </c>
      <c r="Q1276" s="5"/>
    </row>
    <row r="1277" spans="1:17" ht="31">
      <c r="A1277" s="5">
        <v>1272</v>
      </c>
      <c r="B1277" s="6" t="s">
        <v>16</v>
      </c>
      <c r="C1277" s="5" t="str">
        <f>HYPERLINK("http://data.overheid.nl/data/dataset/hond-paap-2007","Hond_paap_2007")</f>
        <v>Hond_paap_2007</v>
      </c>
      <c r="D1277" s="6" t="s">
        <v>17</v>
      </c>
      <c r="E1277" s="5" t="s">
        <v>18</v>
      </c>
      <c r="F1277" s="6" t="s">
        <v>813</v>
      </c>
      <c r="G1277" s="5" t="s">
        <v>781</v>
      </c>
      <c r="H1277" s="6" t="s">
        <v>20</v>
      </c>
      <c r="I1277" s="5" t="s">
        <v>21</v>
      </c>
      <c r="J1277" s="4" t="s">
        <v>22</v>
      </c>
      <c r="K1277" s="2" t="s">
        <v>23</v>
      </c>
      <c r="L1277" s="6" t="s">
        <v>24</v>
      </c>
      <c r="M1277" s="5" t="s">
        <v>25</v>
      </c>
      <c r="N1277" s="3" t="s">
        <v>26</v>
      </c>
      <c r="O1277" s="5">
        <v>2</v>
      </c>
      <c r="P1277" s="3" t="s">
        <v>23</v>
      </c>
      <c r="Q1277" s="5"/>
    </row>
    <row r="1278" spans="1:17" ht="31">
      <c r="A1278" s="5">
        <v>1273</v>
      </c>
      <c r="B1278" s="6" t="s">
        <v>16</v>
      </c>
      <c r="C1278" s="5" t="str">
        <f>HYPERLINK("http://data.overheid.nl/data/dataset/groninger-kust-noordpolderzijl-2007","groninger_kust_noordpolderzijl_2007")</f>
        <v>groninger_kust_noordpolderzijl_2007</v>
      </c>
      <c r="D1278" s="6" t="s">
        <v>17</v>
      </c>
      <c r="E1278" s="5" t="s">
        <v>18</v>
      </c>
      <c r="F1278" s="6" t="s">
        <v>813</v>
      </c>
      <c r="G1278" s="5" t="s">
        <v>782</v>
      </c>
      <c r="H1278" s="6" t="s">
        <v>20</v>
      </c>
      <c r="I1278" s="5" t="s">
        <v>21</v>
      </c>
      <c r="J1278" s="4" t="s">
        <v>22</v>
      </c>
      <c r="K1278" s="2" t="s">
        <v>23</v>
      </c>
      <c r="L1278" s="6" t="s">
        <v>24</v>
      </c>
      <c r="M1278" s="5" t="s">
        <v>25</v>
      </c>
      <c r="N1278" s="3" t="s">
        <v>26</v>
      </c>
      <c r="O1278" s="5">
        <v>2</v>
      </c>
      <c r="P1278" s="3" t="s">
        <v>23</v>
      </c>
      <c r="Q1278" s="5"/>
    </row>
    <row r="1279" spans="1:17" ht="31">
      <c r="A1279" s="5">
        <v>1274</v>
      </c>
      <c r="B1279" s="6" t="s">
        <v>16</v>
      </c>
      <c r="C1279" s="5" t="str">
        <f>HYPERLINK("http://data.overheid.nl/data/dataset/groninger-kust-gasstation-2007","groninger_kust_gasstation_2007")</f>
        <v>groninger_kust_gasstation_2007</v>
      </c>
      <c r="D1279" s="6" t="s">
        <v>17</v>
      </c>
      <c r="E1279" s="5" t="s">
        <v>18</v>
      </c>
      <c r="F1279" s="6" t="s">
        <v>813</v>
      </c>
      <c r="G1279" s="5" t="s">
        <v>783</v>
      </c>
      <c r="H1279" s="6" t="s">
        <v>20</v>
      </c>
      <c r="I1279" s="5" t="s">
        <v>21</v>
      </c>
      <c r="J1279" s="4" t="s">
        <v>22</v>
      </c>
      <c r="K1279" s="2" t="s">
        <v>23</v>
      </c>
      <c r="L1279" s="6" t="s">
        <v>24</v>
      </c>
      <c r="M1279" s="5" t="s">
        <v>25</v>
      </c>
      <c r="N1279" s="3" t="s">
        <v>26</v>
      </c>
      <c r="O1279" s="5">
        <v>2</v>
      </c>
      <c r="P1279" s="3" t="s">
        <v>23</v>
      </c>
      <c r="Q1279" s="5"/>
    </row>
    <row r="1280" spans="1:17" ht="31">
      <c r="A1280" s="5">
        <v>1275</v>
      </c>
      <c r="B1280" s="6" t="s">
        <v>16</v>
      </c>
      <c r="C1280" s="5" t="str">
        <f>HYPERLINK("http://data.overheid.nl/data/dataset/groninger-kust-2007","groninger_kust_2007")</f>
        <v>groninger_kust_2007</v>
      </c>
      <c r="D1280" s="6" t="s">
        <v>17</v>
      </c>
      <c r="E1280" s="5" t="s">
        <v>18</v>
      </c>
      <c r="F1280" s="6" t="s">
        <v>813</v>
      </c>
      <c r="G1280" s="5" t="s">
        <v>784</v>
      </c>
      <c r="H1280" s="6" t="s">
        <v>20</v>
      </c>
      <c r="I1280" s="5" t="s">
        <v>21</v>
      </c>
      <c r="J1280" s="4" t="s">
        <v>22</v>
      </c>
      <c r="K1280" s="2" t="s">
        <v>23</v>
      </c>
      <c r="L1280" s="6" t="s">
        <v>24</v>
      </c>
      <c r="M1280" s="5" t="s">
        <v>25</v>
      </c>
      <c r="N1280" s="3" t="s">
        <v>26</v>
      </c>
      <c r="O1280" s="5">
        <v>2</v>
      </c>
      <c r="P1280" s="3" t="s">
        <v>23</v>
      </c>
      <c r="Q1280" s="5"/>
    </row>
    <row r="1281" spans="1:17" ht="46.5">
      <c r="A1281" s="5">
        <v>1276</v>
      </c>
      <c r="B1281" s="6" t="s">
        <v>16</v>
      </c>
      <c r="C1281" s="5" t="str">
        <f>HYPERLINK("http://data.overheid.nl/data/dataset/bodemhoogte-laatst-gemeten-diepte-1-mtr-zuid-holland-11-2012","Bodemhoogte - Laatst gemeten diepte 1 mtr - Zuid Holland 11-2012")</f>
        <v>Bodemhoogte - Laatst gemeten diepte 1 mtr - Zuid Holland 11-2012</v>
      </c>
      <c r="D1281" s="6" t="s">
        <v>17</v>
      </c>
      <c r="E1281" s="5" t="s">
        <v>18</v>
      </c>
      <c r="F1281" s="6" t="s">
        <v>813</v>
      </c>
      <c r="G1281" s="5" t="s">
        <v>304</v>
      </c>
      <c r="H1281" s="6" t="s">
        <v>20</v>
      </c>
      <c r="I1281" s="5" t="s">
        <v>21</v>
      </c>
      <c r="J1281" s="4" t="s">
        <v>22</v>
      </c>
      <c r="K1281" s="2" t="s">
        <v>23</v>
      </c>
      <c r="L1281" s="6" t="s">
        <v>24</v>
      </c>
      <c r="M1281" s="5" t="s">
        <v>25</v>
      </c>
      <c r="N1281" s="3" t="s">
        <v>26</v>
      </c>
      <c r="O1281" s="5">
        <v>29</v>
      </c>
      <c r="P1281" s="3" t="s">
        <v>23</v>
      </c>
      <c r="Q1281" s="5"/>
    </row>
    <row r="1282" spans="1:17" ht="124">
      <c r="A1282" s="5">
        <v>1277</v>
      </c>
      <c r="B1282" s="6" t="s">
        <v>16</v>
      </c>
      <c r="C1282" s="5" t="str">
        <f>HYPERLINK("http://data.overheid.nl/data/dataset/actueel-hoogtebestand-nederland-vlieglijnen","Actueel Hoogtebestand Nederland vlieglijnen")</f>
        <v>Actueel Hoogtebestand Nederland vlieglijnen</v>
      </c>
      <c r="D1282" s="6" t="s">
        <v>17</v>
      </c>
      <c r="E1282" s="5" t="s">
        <v>18</v>
      </c>
      <c r="F1282" s="6" t="s">
        <v>813</v>
      </c>
      <c r="G1282" s="5" t="s">
        <v>129</v>
      </c>
      <c r="H1282" s="6" t="s">
        <v>20</v>
      </c>
      <c r="I1282" s="5" t="s">
        <v>21</v>
      </c>
      <c r="J1282" s="4" t="s">
        <v>22</v>
      </c>
      <c r="K1282" s="2" t="s">
        <v>23</v>
      </c>
      <c r="L1282" s="6" t="s">
        <v>24</v>
      </c>
      <c r="M1282" s="5" t="s">
        <v>25</v>
      </c>
      <c r="N1282" s="3" t="s">
        <v>26</v>
      </c>
      <c r="O1282" s="5">
        <v>2</v>
      </c>
      <c r="P1282" s="3" t="s">
        <v>23</v>
      </c>
      <c r="Q1282" s="5"/>
    </row>
    <row r="1283" spans="1:17" ht="31">
      <c r="A1283" s="5">
        <v>1278</v>
      </c>
      <c r="B1283" s="6" t="s">
        <v>16</v>
      </c>
      <c r="C1283" s="5" t="str">
        <f>HYPERLINK("http://data.overheid.nl/data/dataset/west-terschelling-2006","west_terschelling_2006")</f>
        <v>west_terschelling_2006</v>
      </c>
      <c r="D1283" s="6" t="s">
        <v>17</v>
      </c>
      <c r="E1283" s="5" t="s">
        <v>18</v>
      </c>
      <c r="F1283" s="6" t="s">
        <v>813</v>
      </c>
      <c r="G1283" s="5" t="s">
        <v>785</v>
      </c>
      <c r="H1283" s="6" t="s">
        <v>20</v>
      </c>
      <c r="I1283" s="5" t="s">
        <v>21</v>
      </c>
      <c r="J1283" s="4" t="s">
        <v>22</v>
      </c>
      <c r="K1283" s="2" t="s">
        <v>23</v>
      </c>
      <c r="L1283" s="6" t="s">
        <v>24</v>
      </c>
      <c r="M1283" s="5" t="s">
        <v>25</v>
      </c>
      <c r="N1283" s="3" t="s">
        <v>26</v>
      </c>
      <c r="O1283" s="5">
        <v>2</v>
      </c>
      <c r="P1283" s="3" t="s">
        <v>23</v>
      </c>
      <c r="Q1283" s="5"/>
    </row>
    <row r="1284" spans="1:17" ht="31">
      <c r="A1284" s="5">
        <v>1279</v>
      </c>
      <c r="B1284" s="6" t="s">
        <v>16</v>
      </c>
      <c r="C1284" s="5" t="str">
        <f>HYPERLINK("http://data.overheid.nl/data/dataset/voolhok-2006","voolhok_2006")</f>
        <v>voolhok_2006</v>
      </c>
      <c r="D1284" s="6" t="s">
        <v>17</v>
      </c>
      <c r="E1284" s="5" t="s">
        <v>18</v>
      </c>
      <c r="F1284" s="6" t="s">
        <v>813</v>
      </c>
      <c r="G1284" s="5" t="s">
        <v>786</v>
      </c>
      <c r="H1284" s="6" t="s">
        <v>20</v>
      </c>
      <c r="I1284" s="5" t="s">
        <v>21</v>
      </c>
      <c r="J1284" s="4" t="s">
        <v>22</v>
      </c>
      <c r="K1284" s="2" t="s">
        <v>23</v>
      </c>
      <c r="L1284" s="6" t="s">
        <v>24</v>
      </c>
      <c r="M1284" s="5" t="s">
        <v>25</v>
      </c>
      <c r="N1284" s="3" t="s">
        <v>26</v>
      </c>
      <c r="O1284" s="5">
        <v>2</v>
      </c>
      <c r="P1284" s="3" t="s">
        <v>23</v>
      </c>
      <c r="Q1284" s="5"/>
    </row>
    <row r="1285" spans="1:17" ht="31">
      <c r="A1285" s="5">
        <v>1280</v>
      </c>
      <c r="B1285" s="6" t="s">
        <v>16</v>
      </c>
      <c r="C1285" s="5" t="str">
        <f>HYPERLINK("http://data.overheid.nl/data/dataset/slufter-voorne-2006","slufter-voorne_2006")</f>
        <v>slufter-voorne_2006</v>
      </c>
      <c r="D1285" s="6" t="s">
        <v>17</v>
      </c>
      <c r="E1285" s="5" t="s">
        <v>18</v>
      </c>
      <c r="F1285" s="6" t="s">
        <v>813</v>
      </c>
      <c r="G1285" s="5" t="s">
        <v>787</v>
      </c>
      <c r="H1285" s="6" t="s">
        <v>20</v>
      </c>
      <c r="I1285" s="5" t="s">
        <v>21</v>
      </c>
      <c r="J1285" s="4" t="s">
        <v>22</v>
      </c>
      <c r="K1285" s="2" t="s">
        <v>23</v>
      </c>
      <c r="L1285" s="6" t="s">
        <v>24</v>
      </c>
      <c r="M1285" s="5" t="s">
        <v>25</v>
      </c>
      <c r="N1285" s="3" t="s">
        <v>26</v>
      </c>
      <c r="O1285" s="5">
        <v>2</v>
      </c>
      <c r="P1285" s="3" t="s">
        <v>23</v>
      </c>
      <c r="Q1285" s="5"/>
    </row>
    <row r="1286" spans="1:17" ht="31">
      <c r="A1286" s="5">
        <v>1281</v>
      </c>
      <c r="B1286" s="6" t="s">
        <v>16</v>
      </c>
      <c r="C1286" s="5" t="str">
        <f>HYPERLINK("http://data.overheid.nl/data/dataset/rijn-maasmonding-2006","rijn-maasmonding_2006")</f>
        <v>rijn-maasmonding_2006</v>
      </c>
      <c r="D1286" s="6" t="s">
        <v>17</v>
      </c>
      <c r="E1286" s="5" t="s">
        <v>18</v>
      </c>
      <c r="F1286" s="6" t="s">
        <v>813</v>
      </c>
      <c r="G1286" s="5" t="s">
        <v>788</v>
      </c>
      <c r="H1286" s="6" t="s">
        <v>20</v>
      </c>
      <c r="I1286" s="5" t="s">
        <v>21</v>
      </c>
      <c r="J1286" s="4" t="s">
        <v>22</v>
      </c>
      <c r="K1286" s="2" t="s">
        <v>23</v>
      </c>
      <c r="L1286" s="6" t="s">
        <v>24</v>
      </c>
      <c r="M1286" s="5" t="s">
        <v>25</v>
      </c>
      <c r="N1286" s="3" t="s">
        <v>26</v>
      </c>
      <c r="O1286" s="5">
        <v>2</v>
      </c>
      <c r="P1286" s="3" t="s">
        <v>23</v>
      </c>
      <c r="Q1286" s="5"/>
    </row>
    <row r="1287" spans="1:17" ht="31">
      <c r="A1287" s="5">
        <v>1282</v>
      </c>
      <c r="B1287" s="6" t="s">
        <v>16</v>
      </c>
      <c r="C1287" s="5" t="str">
        <f>HYPERLINK("http://data.overheid.nl/data/dataset/puntvanreide-2006","puntvanreide_2006")</f>
        <v>puntvanreide_2006</v>
      </c>
      <c r="D1287" s="6" t="s">
        <v>17</v>
      </c>
      <c r="E1287" s="5" t="s">
        <v>18</v>
      </c>
      <c r="F1287" s="6" t="s">
        <v>813</v>
      </c>
      <c r="G1287" s="5" t="s">
        <v>789</v>
      </c>
      <c r="H1287" s="6" t="s">
        <v>20</v>
      </c>
      <c r="I1287" s="5" t="s">
        <v>21</v>
      </c>
      <c r="J1287" s="4" t="s">
        <v>22</v>
      </c>
      <c r="K1287" s="2" t="s">
        <v>23</v>
      </c>
      <c r="L1287" s="6" t="s">
        <v>24</v>
      </c>
      <c r="M1287" s="5" t="s">
        <v>25</v>
      </c>
      <c r="N1287" s="3" t="s">
        <v>26</v>
      </c>
      <c r="O1287" s="5">
        <v>2</v>
      </c>
      <c r="P1287" s="3" t="s">
        <v>23</v>
      </c>
      <c r="Q1287" s="5"/>
    </row>
    <row r="1288" spans="1:17" ht="31">
      <c r="A1288" s="5">
        <v>1283</v>
      </c>
      <c r="B1288" s="6" t="s">
        <v>16</v>
      </c>
      <c r="C1288" s="5" t="str">
        <f>HYPERLINK("http://data.overheid.nl/data/dataset/osterschelde-noord-2006","osterschelde_noord_2006")</f>
        <v>osterschelde_noord_2006</v>
      </c>
      <c r="D1288" s="6" t="s">
        <v>17</v>
      </c>
      <c r="E1288" s="5" t="s">
        <v>18</v>
      </c>
      <c r="F1288" s="6" t="s">
        <v>813</v>
      </c>
      <c r="G1288" s="5" t="s">
        <v>790</v>
      </c>
      <c r="H1288" s="6" t="s">
        <v>20</v>
      </c>
      <c r="I1288" s="5" t="s">
        <v>21</v>
      </c>
      <c r="J1288" s="4" t="s">
        <v>22</v>
      </c>
      <c r="K1288" s="2" t="s">
        <v>23</v>
      </c>
      <c r="L1288" s="6" t="s">
        <v>24</v>
      </c>
      <c r="M1288" s="5" t="s">
        <v>25</v>
      </c>
      <c r="N1288" s="3" t="s">
        <v>26</v>
      </c>
      <c r="O1288" s="5">
        <v>2</v>
      </c>
      <c r="P1288" s="3" t="s">
        <v>23</v>
      </c>
      <c r="Q1288" s="5"/>
    </row>
    <row r="1289" spans="1:17" ht="31">
      <c r="A1289" s="5">
        <v>1284</v>
      </c>
      <c r="B1289" s="6" t="s">
        <v>16</v>
      </c>
      <c r="C1289" s="5" t="str">
        <f>HYPERLINK("http://data.overheid.nl/data/dataset/oosterschelde-midden-2006","oosterschelde_midden_2006")</f>
        <v>oosterschelde_midden_2006</v>
      </c>
      <c r="D1289" s="6" t="s">
        <v>17</v>
      </c>
      <c r="E1289" s="5" t="s">
        <v>18</v>
      </c>
      <c r="F1289" s="6" t="s">
        <v>813</v>
      </c>
      <c r="G1289" s="5" t="s">
        <v>791</v>
      </c>
      <c r="H1289" s="6" t="s">
        <v>20</v>
      </c>
      <c r="I1289" s="5" t="s">
        <v>21</v>
      </c>
      <c r="J1289" s="4" t="s">
        <v>22</v>
      </c>
      <c r="K1289" s="2" t="s">
        <v>23</v>
      </c>
      <c r="L1289" s="6" t="s">
        <v>24</v>
      </c>
      <c r="M1289" s="5" t="s">
        <v>25</v>
      </c>
      <c r="N1289" s="3" t="s">
        <v>26</v>
      </c>
      <c r="O1289" s="5">
        <v>2</v>
      </c>
      <c r="P1289" s="3" t="s">
        <v>23</v>
      </c>
      <c r="Q1289" s="5"/>
    </row>
    <row r="1290" spans="1:17" ht="31">
      <c r="A1290" s="5">
        <v>1285</v>
      </c>
      <c r="B1290" s="6" t="s">
        <v>16</v>
      </c>
      <c r="C1290" s="5" t="str">
        <f>HYPERLINK("http://data.overheid.nl/data/dataset/oosterschelde-kom-2006","oosterschelde_kom_2006")</f>
        <v>oosterschelde_kom_2006</v>
      </c>
      <c r="D1290" s="6" t="s">
        <v>17</v>
      </c>
      <c r="E1290" s="5" t="s">
        <v>18</v>
      </c>
      <c r="F1290" s="6" t="s">
        <v>813</v>
      </c>
      <c r="G1290" s="5" t="s">
        <v>792</v>
      </c>
      <c r="H1290" s="6" t="s">
        <v>20</v>
      </c>
      <c r="I1290" s="5" t="s">
        <v>21</v>
      </c>
      <c r="J1290" s="4" t="s">
        <v>22</v>
      </c>
      <c r="K1290" s="2" t="s">
        <v>23</v>
      </c>
      <c r="L1290" s="6" t="s">
        <v>24</v>
      </c>
      <c r="M1290" s="5" t="s">
        <v>25</v>
      </c>
      <c r="N1290" s="3" t="s">
        <v>26</v>
      </c>
      <c r="O1290" s="5">
        <v>2</v>
      </c>
      <c r="P1290" s="3" t="s">
        <v>23</v>
      </c>
      <c r="Q1290" s="5"/>
    </row>
    <row r="1291" spans="1:17" ht="155">
      <c r="A1291" s="5">
        <v>1286</v>
      </c>
      <c r="B1291" s="6" t="s">
        <v>16</v>
      </c>
      <c r="C1291" s="5" t="str">
        <f>HYPERLINK("http://data.overheid.nl/data/dataset/nationaal-wegen-bestand-wegen-wegvakken-2006","Nationaal Wegen Bestand Wegen wegvakken 2006")</f>
        <v>Nationaal Wegen Bestand Wegen wegvakken 2006</v>
      </c>
      <c r="D1291" s="6" t="s">
        <v>17</v>
      </c>
      <c r="E1291" s="5" t="s">
        <v>18</v>
      </c>
      <c r="F1291" s="6" t="s">
        <v>813</v>
      </c>
      <c r="G1291" s="5" t="s">
        <v>114</v>
      </c>
      <c r="H1291" s="6" t="s">
        <v>20</v>
      </c>
      <c r="I1291" s="5" t="s">
        <v>21</v>
      </c>
      <c r="J1291" s="4" t="s">
        <v>22</v>
      </c>
      <c r="K1291" s="2" t="s">
        <v>23</v>
      </c>
      <c r="L1291" s="6" t="s">
        <v>24</v>
      </c>
      <c r="M1291" s="5" t="s">
        <v>25</v>
      </c>
      <c r="N1291" s="3" t="s">
        <v>26</v>
      </c>
      <c r="O1291" s="5">
        <v>2</v>
      </c>
      <c r="P1291" s="3" t="s">
        <v>23</v>
      </c>
      <c r="Q1291" s="5"/>
    </row>
    <row r="1292" spans="1:17" ht="155">
      <c r="A1292" s="5">
        <v>1287</v>
      </c>
      <c r="B1292" s="6" t="s">
        <v>16</v>
      </c>
      <c r="C1292" s="5" t="str">
        <f>HYPERLINK("http://data.overheid.nl/data/dataset/nationaal-wegen-bestand-wegen-hectopunten-2006","Nationaal Wegen Bestand Wegen hectopunten 2006")</f>
        <v>Nationaal Wegen Bestand Wegen hectopunten 2006</v>
      </c>
      <c r="D1292" s="6" t="s">
        <v>17</v>
      </c>
      <c r="E1292" s="5" t="s">
        <v>18</v>
      </c>
      <c r="F1292" s="6" t="s">
        <v>813</v>
      </c>
      <c r="G1292" s="5" t="s">
        <v>95</v>
      </c>
      <c r="H1292" s="6" t="s">
        <v>20</v>
      </c>
      <c r="I1292" s="5" t="s">
        <v>21</v>
      </c>
      <c r="J1292" s="4" t="s">
        <v>22</v>
      </c>
      <c r="K1292" s="2" t="s">
        <v>23</v>
      </c>
      <c r="L1292" s="6" t="s">
        <v>24</v>
      </c>
      <c r="M1292" s="5" t="s">
        <v>25</v>
      </c>
      <c r="N1292" s="3" t="s">
        <v>26</v>
      </c>
      <c r="O1292" s="5">
        <v>2</v>
      </c>
      <c r="P1292" s="3" t="s">
        <v>23</v>
      </c>
      <c r="Q1292" s="5"/>
    </row>
    <row r="1293" spans="1:17" ht="31">
      <c r="A1293" s="5">
        <v>1288</v>
      </c>
      <c r="B1293" s="6" t="s">
        <v>16</v>
      </c>
      <c r="C1293" s="5" t="str">
        <f>HYPERLINK("http://data.overheid.nl/data/dataset/kwadehoek-2006","kwadehoek_2006")</f>
        <v>kwadehoek_2006</v>
      </c>
      <c r="D1293" s="6" t="s">
        <v>17</v>
      </c>
      <c r="E1293" s="5" t="s">
        <v>18</v>
      </c>
      <c r="F1293" s="6" t="s">
        <v>813</v>
      </c>
      <c r="G1293" s="5" t="s">
        <v>793</v>
      </c>
      <c r="H1293" s="6" t="s">
        <v>20</v>
      </c>
      <c r="I1293" s="5" t="s">
        <v>21</v>
      </c>
      <c r="J1293" s="4" t="s">
        <v>22</v>
      </c>
      <c r="K1293" s="2" t="s">
        <v>23</v>
      </c>
      <c r="L1293" s="6" t="s">
        <v>24</v>
      </c>
      <c r="M1293" s="5" t="s">
        <v>25</v>
      </c>
      <c r="N1293" s="3" t="s">
        <v>26</v>
      </c>
      <c r="O1293" s="5">
        <v>2</v>
      </c>
      <c r="P1293" s="3" t="s">
        <v>23</v>
      </c>
      <c r="Q1293" s="5"/>
    </row>
    <row r="1294" spans="1:17" ht="31">
      <c r="A1294" s="5">
        <v>1289</v>
      </c>
      <c r="B1294" s="6" t="s">
        <v>16</v>
      </c>
      <c r="C1294" s="5" t="str">
        <f>HYPERLINK("http://data.overheid.nl/data/dataset/hond-paap-2006","hond_paap_2006")</f>
        <v>hond_paap_2006</v>
      </c>
      <c r="D1294" s="6" t="s">
        <v>17</v>
      </c>
      <c r="E1294" s="5" t="s">
        <v>18</v>
      </c>
      <c r="F1294" s="6" t="s">
        <v>813</v>
      </c>
      <c r="G1294" s="5" t="s">
        <v>794</v>
      </c>
      <c r="H1294" s="6" t="s">
        <v>20</v>
      </c>
      <c r="I1294" s="5" t="s">
        <v>21</v>
      </c>
      <c r="J1294" s="4" t="s">
        <v>22</v>
      </c>
      <c r="K1294" s="2" t="s">
        <v>23</v>
      </c>
      <c r="L1294" s="6" t="s">
        <v>24</v>
      </c>
      <c r="M1294" s="5" t="s">
        <v>25</v>
      </c>
      <c r="N1294" s="3" t="s">
        <v>26</v>
      </c>
      <c r="O1294" s="5">
        <v>2</v>
      </c>
      <c r="P1294" s="3" t="s">
        <v>23</v>
      </c>
      <c r="Q1294" s="5"/>
    </row>
    <row r="1295" spans="1:17" ht="31">
      <c r="A1295" s="5">
        <v>1290</v>
      </c>
      <c r="B1295" s="6" t="s">
        <v>16</v>
      </c>
      <c r="C1295" s="5" t="str">
        <f>HYPERLINK("http://data.overheid.nl/data/dataset/groningerwad-kust-2006","groningerwad_kust_2006")</f>
        <v>groningerwad_kust_2006</v>
      </c>
      <c r="D1295" s="6" t="s">
        <v>17</v>
      </c>
      <c r="E1295" s="5" t="s">
        <v>18</v>
      </c>
      <c r="F1295" s="6" t="s">
        <v>813</v>
      </c>
      <c r="G1295" s="5" t="s">
        <v>795</v>
      </c>
      <c r="H1295" s="6" t="s">
        <v>20</v>
      </c>
      <c r="I1295" s="5" t="s">
        <v>21</v>
      </c>
      <c r="J1295" s="4" t="s">
        <v>22</v>
      </c>
      <c r="K1295" s="2" t="s">
        <v>23</v>
      </c>
      <c r="L1295" s="6" t="s">
        <v>24</v>
      </c>
      <c r="M1295" s="5" t="s">
        <v>25</v>
      </c>
      <c r="N1295" s="3" t="s">
        <v>26</v>
      </c>
      <c r="O1295" s="5">
        <v>2</v>
      </c>
      <c r="P1295" s="3" t="s">
        <v>23</v>
      </c>
      <c r="Q1295" s="5"/>
    </row>
    <row r="1296" spans="1:17" ht="31">
      <c r="A1296" s="5">
        <v>1291</v>
      </c>
      <c r="B1296" s="6" t="s">
        <v>16</v>
      </c>
      <c r="C1296" s="5" t="str">
        <f>HYPERLINK("http://data.overheid.nl/data/dataset/griend-2006","griend_2006")</f>
        <v>griend_2006</v>
      </c>
      <c r="D1296" s="6" t="s">
        <v>17</v>
      </c>
      <c r="E1296" s="5" t="s">
        <v>18</v>
      </c>
      <c r="F1296" s="6" t="s">
        <v>813</v>
      </c>
      <c r="G1296" s="5" t="s">
        <v>796</v>
      </c>
      <c r="H1296" s="6" t="s">
        <v>20</v>
      </c>
      <c r="I1296" s="5" t="s">
        <v>21</v>
      </c>
      <c r="J1296" s="4" t="s">
        <v>22</v>
      </c>
      <c r="K1296" s="2" t="s">
        <v>23</v>
      </c>
      <c r="L1296" s="6" t="s">
        <v>24</v>
      </c>
      <c r="M1296" s="5" t="s">
        <v>25</v>
      </c>
      <c r="N1296" s="3" t="s">
        <v>26</v>
      </c>
      <c r="O1296" s="5">
        <v>2</v>
      </c>
      <c r="P1296" s="3" t="s">
        <v>23</v>
      </c>
      <c r="Q1296" s="5"/>
    </row>
    <row r="1297" spans="1:17" ht="31">
      <c r="A1297" s="5">
        <v>1292</v>
      </c>
      <c r="B1297" s="6" t="s">
        <v>16</v>
      </c>
      <c r="C1297" s="5" t="str">
        <f>HYPERLINK("http://data.overheid.nl/data/dataset/dortsman-2006","dortsman_2006")</f>
        <v>dortsman_2006</v>
      </c>
      <c r="D1297" s="6" t="s">
        <v>17</v>
      </c>
      <c r="E1297" s="5" t="s">
        <v>18</v>
      </c>
      <c r="F1297" s="6" t="s">
        <v>813</v>
      </c>
      <c r="G1297" s="5" t="s">
        <v>797</v>
      </c>
      <c r="H1297" s="6" t="s">
        <v>20</v>
      </c>
      <c r="I1297" s="5" t="s">
        <v>21</v>
      </c>
      <c r="J1297" s="4" t="s">
        <v>22</v>
      </c>
      <c r="K1297" s="2" t="s">
        <v>23</v>
      </c>
      <c r="L1297" s="6" t="s">
        <v>24</v>
      </c>
      <c r="M1297" s="5" t="s">
        <v>25</v>
      </c>
      <c r="N1297" s="3" t="s">
        <v>26</v>
      </c>
      <c r="O1297" s="5">
        <v>2</v>
      </c>
      <c r="P1297" s="3" t="s">
        <v>23</v>
      </c>
      <c r="Q1297" s="5"/>
    </row>
    <row r="1298" spans="1:17" ht="31">
      <c r="A1298" s="5">
        <v>1293</v>
      </c>
      <c r="B1298" s="6" t="s">
        <v>16</v>
      </c>
      <c r="C1298" s="5" t="str">
        <f>HYPERLINK("http://data.overheid.nl/data/dataset/dollard-kwelder-2006","dollard_kwelder_2006")</f>
        <v>dollard_kwelder_2006</v>
      </c>
      <c r="D1298" s="6" t="s">
        <v>17</v>
      </c>
      <c r="E1298" s="5" t="s">
        <v>18</v>
      </c>
      <c r="F1298" s="6" t="s">
        <v>813</v>
      </c>
      <c r="G1298" s="5" t="s">
        <v>798</v>
      </c>
      <c r="H1298" s="6" t="s">
        <v>20</v>
      </c>
      <c r="I1298" s="5" t="s">
        <v>21</v>
      </c>
      <c r="J1298" s="4" t="s">
        <v>22</v>
      </c>
      <c r="K1298" s="2" t="s">
        <v>23</v>
      </c>
      <c r="L1298" s="6" t="s">
        <v>24</v>
      </c>
      <c r="M1298" s="5" t="s">
        <v>25</v>
      </c>
      <c r="N1298" s="3" t="s">
        <v>26</v>
      </c>
      <c r="O1298" s="5">
        <v>2</v>
      </c>
      <c r="P1298" s="3" t="s">
        <v>23</v>
      </c>
      <c r="Q1298" s="5"/>
    </row>
    <row r="1299" spans="1:17" ht="31">
      <c r="A1299" s="5">
        <v>1294</v>
      </c>
      <c r="B1299" s="6" t="s">
        <v>16</v>
      </c>
      <c r="C1299" s="5" t="str">
        <f>HYPERLINK("http://data.overheid.nl/data/dataset/bosplaat-terschelling-2006","bosplaat_terschelling_2006")</f>
        <v>bosplaat_terschelling_2006</v>
      </c>
      <c r="D1299" s="6" t="s">
        <v>17</v>
      </c>
      <c r="E1299" s="5" t="s">
        <v>18</v>
      </c>
      <c r="F1299" s="6" t="s">
        <v>813</v>
      </c>
      <c r="G1299" s="5" t="s">
        <v>799</v>
      </c>
      <c r="H1299" s="6" t="s">
        <v>20</v>
      </c>
      <c r="I1299" s="5" t="s">
        <v>21</v>
      </c>
      <c r="J1299" s="4" t="s">
        <v>22</v>
      </c>
      <c r="K1299" s="2" t="s">
        <v>23</v>
      </c>
      <c r="L1299" s="6" t="s">
        <v>24</v>
      </c>
      <c r="M1299" s="5" t="s">
        <v>25</v>
      </c>
      <c r="N1299" s="3" t="s">
        <v>26</v>
      </c>
      <c r="O1299" s="5">
        <v>2</v>
      </c>
      <c r="P1299" s="3" t="s">
        <v>23</v>
      </c>
      <c r="Q1299" s="5"/>
    </row>
    <row r="1300" spans="1:17" ht="31">
      <c r="A1300" s="5">
        <v>1295</v>
      </c>
      <c r="B1300" s="6" t="s">
        <v>16</v>
      </c>
      <c r="C1300" s="5" t="str">
        <f>HYPERLINK("http://data.overheid.nl/data/dataset/volkerak-zoommeer-2005","volkerak-zoommeer_2005")</f>
        <v>volkerak-zoommeer_2005</v>
      </c>
      <c r="D1300" s="6" t="s">
        <v>17</v>
      </c>
      <c r="E1300" s="5" t="s">
        <v>18</v>
      </c>
      <c r="F1300" s="6" t="s">
        <v>813</v>
      </c>
      <c r="G1300" s="5" t="s">
        <v>800</v>
      </c>
      <c r="H1300" s="6" t="s">
        <v>20</v>
      </c>
      <c r="I1300" s="5" t="s">
        <v>21</v>
      </c>
      <c r="J1300" s="4" t="s">
        <v>22</v>
      </c>
      <c r="K1300" s="2" t="s">
        <v>23</v>
      </c>
      <c r="L1300" s="6" t="s">
        <v>24</v>
      </c>
      <c r="M1300" s="5" t="s">
        <v>25</v>
      </c>
      <c r="N1300" s="3" t="s">
        <v>26</v>
      </c>
      <c r="O1300" s="5">
        <v>2</v>
      </c>
      <c r="P1300" s="3" t="s">
        <v>23</v>
      </c>
      <c r="Q1300" s="5"/>
    </row>
    <row r="1301" spans="1:17" ht="62">
      <c r="A1301" s="5">
        <v>1296</v>
      </c>
      <c r="B1301" s="6" t="s">
        <v>16</v>
      </c>
      <c r="C1301" s="5" t="str">
        <f>HYPERLINK("http://data.overheid.nl/data/dataset/vervoer-gevaarlijke-stoffen-tellingen-openbaar-2016-04","Vervoer Gevaarlijke stoffen - Tellingen openbaar 2016-04")</f>
        <v>Vervoer Gevaarlijke stoffen - Tellingen openbaar 2016-04</v>
      </c>
      <c r="D1301" s="6" t="s">
        <v>17</v>
      </c>
      <c r="E1301" s="5" t="s">
        <v>18</v>
      </c>
      <c r="F1301" s="6" t="s">
        <v>813</v>
      </c>
      <c r="G1301" s="5" t="s">
        <v>801</v>
      </c>
      <c r="H1301" s="6" t="s">
        <v>20</v>
      </c>
      <c r="I1301" s="5" t="s">
        <v>21</v>
      </c>
      <c r="J1301" s="4" t="s">
        <v>22</v>
      </c>
      <c r="K1301" s="2" t="s">
        <v>23</v>
      </c>
      <c r="L1301" s="6" t="s">
        <v>24</v>
      </c>
      <c r="M1301" s="5" t="s">
        <v>25</v>
      </c>
      <c r="N1301" s="3" t="s">
        <v>26</v>
      </c>
      <c r="O1301" s="5">
        <v>3</v>
      </c>
      <c r="P1301" s="3" t="s">
        <v>23</v>
      </c>
      <c r="Q1301" s="5"/>
    </row>
    <row r="1302" spans="1:17" ht="31">
      <c r="A1302" s="5">
        <v>1297</v>
      </c>
      <c r="B1302" s="6" t="s">
        <v>16</v>
      </c>
      <c r="C1302" s="5" t="str">
        <f>HYPERLINK("http://data.overheid.nl/data/dataset/veersemeer-2005","veersemeer_2005")</f>
        <v>veersemeer_2005</v>
      </c>
      <c r="D1302" s="6" t="s">
        <v>17</v>
      </c>
      <c r="E1302" s="5" t="s">
        <v>18</v>
      </c>
      <c r="F1302" s="6" t="s">
        <v>813</v>
      </c>
      <c r="G1302" s="5" t="s">
        <v>802</v>
      </c>
      <c r="H1302" s="6" t="s">
        <v>20</v>
      </c>
      <c r="I1302" s="5" t="s">
        <v>21</v>
      </c>
      <c r="J1302" s="4" t="s">
        <v>22</v>
      </c>
      <c r="K1302" s="2" t="s">
        <v>23</v>
      </c>
      <c r="L1302" s="6" t="s">
        <v>24</v>
      </c>
      <c r="M1302" s="5" t="s">
        <v>25</v>
      </c>
      <c r="N1302" s="3" t="s">
        <v>26</v>
      </c>
      <c r="O1302" s="5">
        <v>2</v>
      </c>
      <c r="P1302" s="3" t="s">
        <v>23</v>
      </c>
      <c r="Q1302" s="5"/>
    </row>
    <row r="1303" spans="1:17" ht="31">
      <c r="A1303" s="5">
        <v>1298</v>
      </c>
      <c r="B1303" s="6" t="s">
        <v>16</v>
      </c>
      <c r="C1303" s="5" t="str">
        <f>HYPERLINK("http://data.overheid.nl/data/dataset/texel-nholland-2005","texel_nholland_2005")</f>
        <v>texel_nholland_2005</v>
      </c>
      <c r="D1303" s="6" t="s">
        <v>17</v>
      </c>
      <c r="E1303" s="5" t="s">
        <v>18</v>
      </c>
      <c r="F1303" s="6" t="s">
        <v>813</v>
      </c>
      <c r="G1303" s="5" t="s">
        <v>803</v>
      </c>
      <c r="H1303" s="6" t="s">
        <v>20</v>
      </c>
      <c r="I1303" s="5" t="s">
        <v>21</v>
      </c>
      <c r="J1303" s="4" t="s">
        <v>22</v>
      </c>
      <c r="K1303" s="2" t="s">
        <v>23</v>
      </c>
      <c r="L1303" s="6" t="s">
        <v>24</v>
      </c>
      <c r="M1303" s="5" t="s">
        <v>25</v>
      </c>
      <c r="N1303" s="3" t="s">
        <v>26</v>
      </c>
      <c r="O1303" s="5">
        <v>2</v>
      </c>
      <c r="P1303" s="3" t="s">
        <v>23</v>
      </c>
      <c r="Q1303" s="5"/>
    </row>
    <row r="1304" spans="1:17" ht="31">
      <c r="A1304" s="5">
        <v>1299</v>
      </c>
      <c r="B1304" s="6" t="s">
        <v>16</v>
      </c>
      <c r="C1304" s="5" t="str">
        <f>HYPERLINK("http://data.overheid.nl/data/dataset/rijntakken-2005","rijntakken_2005")</f>
        <v>rijntakken_2005</v>
      </c>
      <c r="D1304" s="6" t="s">
        <v>17</v>
      </c>
      <c r="E1304" s="5" t="s">
        <v>18</v>
      </c>
      <c r="F1304" s="6" t="s">
        <v>813</v>
      </c>
      <c r="G1304" s="5" t="s">
        <v>788</v>
      </c>
      <c r="H1304" s="6" t="s">
        <v>20</v>
      </c>
      <c r="I1304" s="5" t="s">
        <v>21</v>
      </c>
      <c r="J1304" s="4" t="s">
        <v>22</v>
      </c>
      <c r="K1304" s="2" t="s">
        <v>23</v>
      </c>
      <c r="L1304" s="6" t="s">
        <v>24</v>
      </c>
      <c r="M1304" s="5" t="s">
        <v>25</v>
      </c>
      <c r="N1304" s="3" t="s">
        <v>26</v>
      </c>
      <c r="O1304" s="5">
        <v>2</v>
      </c>
      <c r="P1304" s="3" t="s">
        <v>23</v>
      </c>
      <c r="Q1304" s="5"/>
    </row>
    <row r="1305" spans="1:17" ht="31">
      <c r="A1305" s="5">
        <v>1300</v>
      </c>
      <c r="B1305" s="6" t="s">
        <v>16</v>
      </c>
      <c r="C1305" s="5" t="str">
        <f>HYPERLINK("http://data.overheid.nl/data/dataset/grevelingen-2005","grevelingen_2005")</f>
        <v>grevelingen_2005</v>
      </c>
      <c r="D1305" s="6" t="s">
        <v>17</v>
      </c>
      <c r="E1305" s="5" t="s">
        <v>18</v>
      </c>
      <c r="F1305" s="6" t="s">
        <v>813</v>
      </c>
      <c r="G1305" s="5" t="s">
        <v>804</v>
      </c>
      <c r="H1305" s="6" t="s">
        <v>20</v>
      </c>
      <c r="I1305" s="5" t="s">
        <v>21</v>
      </c>
      <c r="J1305" s="4" t="s">
        <v>22</v>
      </c>
      <c r="K1305" s="2" t="s">
        <v>23</v>
      </c>
      <c r="L1305" s="6" t="s">
        <v>24</v>
      </c>
      <c r="M1305" s="5" t="s">
        <v>25</v>
      </c>
      <c r="N1305" s="3" t="s">
        <v>26</v>
      </c>
      <c r="O1305" s="5">
        <v>2</v>
      </c>
      <c r="P1305" s="3" t="s">
        <v>23</v>
      </c>
      <c r="Q1305" s="5"/>
    </row>
    <row r="1306" spans="1:17" ht="155">
      <c r="A1306" s="5">
        <v>1301</v>
      </c>
      <c r="B1306" s="6" t="s">
        <v>16</v>
      </c>
      <c r="C1306" s="5" t="str">
        <f>HYPERLINK("http://data.overheid.nl/data/dataset/ecotopen-vlakken-tweede-cyclus","Ecotopen vlakken tweede cyclus")</f>
        <v>Ecotopen vlakken tweede cyclus</v>
      </c>
      <c r="D1306" s="6" t="s">
        <v>17</v>
      </c>
      <c r="E1306" s="5" t="s">
        <v>18</v>
      </c>
      <c r="F1306" s="6" t="s">
        <v>813</v>
      </c>
      <c r="G1306" s="5" t="s">
        <v>805</v>
      </c>
      <c r="H1306" s="6" t="s">
        <v>28</v>
      </c>
      <c r="I1306" s="5" t="s">
        <v>21</v>
      </c>
      <c r="J1306" s="4" t="s">
        <v>22</v>
      </c>
      <c r="K1306" s="2" t="s">
        <v>23</v>
      </c>
      <c r="L1306" s="6" t="s">
        <v>24</v>
      </c>
      <c r="M1306" s="5" t="s">
        <v>25</v>
      </c>
      <c r="N1306" s="3" t="s">
        <v>26</v>
      </c>
      <c r="O1306" s="5">
        <v>4</v>
      </c>
      <c r="P1306" s="3" t="s">
        <v>23</v>
      </c>
      <c r="Q1306" s="5"/>
    </row>
    <row r="1307" spans="1:17" ht="31">
      <c r="A1307" s="5">
        <v>1302</v>
      </c>
      <c r="B1307" s="6" t="s">
        <v>16</v>
      </c>
      <c r="C1307" s="5" t="str">
        <f>HYPERLINK("http://data.overheid.nl/data/dataset/westerschelde-2004","westerschelde_2004")</f>
        <v>westerschelde_2004</v>
      </c>
      <c r="D1307" s="6" t="s">
        <v>17</v>
      </c>
      <c r="E1307" s="5" t="s">
        <v>18</v>
      </c>
      <c r="F1307" s="6" t="s">
        <v>813</v>
      </c>
      <c r="G1307" s="5" t="s">
        <v>806</v>
      </c>
      <c r="H1307" s="6" t="s">
        <v>20</v>
      </c>
      <c r="I1307" s="5" t="s">
        <v>21</v>
      </c>
      <c r="J1307" s="4" t="s">
        <v>22</v>
      </c>
      <c r="K1307" s="2" t="s">
        <v>23</v>
      </c>
      <c r="L1307" s="6" t="s">
        <v>24</v>
      </c>
      <c r="M1307" s="5" t="s">
        <v>25</v>
      </c>
      <c r="N1307" s="3" t="s">
        <v>26</v>
      </c>
      <c r="O1307" s="5">
        <v>2</v>
      </c>
      <c r="P1307" s="3" t="s">
        <v>23</v>
      </c>
      <c r="Q1307" s="5"/>
    </row>
    <row r="1308" spans="1:17" ht="31">
      <c r="A1308" s="5">
        <v>1303</v>
      </c>
      <c r="B1308" s="6" t="s">
        <v>16</v>
      </c>
      <c r="C1308" s="5" t="str">
        <f>HYPERLINK("http://data.overheid.nl/data/dataset/maas-2004","maas_2004")</f>
        <v>maas_2004</v>
      </c>
      <c r="D1308" s="6" t="s">
        <v>17</v>
      </c>
      <c r="E1308" s="5" t="s">
        <v>18</v>
      </c>
      <c r="F1308" s="6" t="s">
        <v>813</v>
      </c>
      <c r="G1308" s="5" t="s">
        <v>788</v>
      </c>
      <c r="H1308" s="6" t="s">
        <v>20</v>
      </c>
      <c r="I1308" s="5" t="s">
        <v>21</v>
      </c>
      <c r="J1308" s="4" t="s">
        <v>22</v>
      </c>
      <c r="K1308" s="2" t="s">
        <v>23</v>
      </c>
      <c r="L1308" s="6" t="s">
        <v>24</v>
      </c>
      <c r="M1308" s="5" t="s">
        <v>25</v>
      </c>
      <c r="N1308" s="3" t="s">
        <v>26</v>
      </c>
      <c r="O1308" s="5">
        <v>2</v>
      </c>
      <c r="P1308" s="3" t="s">
        <v>23</v>
      </c>
      <c r="Q1308" s="5"/>
    </row>
    <row r="1309" spans="1:17" ht="31">
      <c r="A1309" s="5">
        <v>1304</v>
      </c>
      <c r="B1309" s="6" t="s">
        <v>16</v>
      </c>
      <c r="C1309" s="5" t="str">
        <f>HYPERLINK("http://data.overheid.nl/data/dataset/ijsselmeer-2004","ijsselmeer_2004")</f>
        <v>ijsselmeer_2004</v>
      </c>
      <c r="D1309" s="6" t="s">
        <v>17</v>
      </c>
      <c r="E1309" s="5" t="s">
        <v>18</v>
      </c>
      <c r="F1309" s="6" t="s">
        <v>813</v>
      </c>
      <c r="G1309" s="5" t="s">
        <v>788</v>
      </c>
      <c r="H1309" s="6" t="s">
        <v>20</v>
      </c>
      <c r="I1309" s="5" t="s">
        <v>21</v>
      </c>
      <c r="J1309" s="4" t="s">
        <v>22</v>
      </c>
      <c r="K1309" s="2" t="s">
        <v>23</v>
      </c>
      <c r="L1309" s="6" t="s">
        <v>24</v>
      </c>
      <c r="M1309" s="5" t="s">
        <v>25</v>
      </c>
      <c r="N1309" s="3" t="s">
        <v>26</v>
      </c>
      <c r="O1309" s="5">
        <v>2</v>
      </c>
      <c r="P1309" s="3" t="s">
        <v>23</v>
      </c>
      <c r="Q1309" s="5"/>
    </row>
    <row r="1310" spans="1:17" ht="31">
      <c r="A1310" s="5">
        <v>1305</v>
      </c>
      <c r="B1310" s="6" t="s">
        <v>16</v>
      </c>
      <c r="C1310" s="5" t="str">
        <f>HYPERLINK("http://data.overheid.nl/data/dataset/geomorfologische-en-vegetatiekartering-ijsselmeergebied-delta-schuitenbeek-2002","Geomorfologische- en vegetatiekartering IJsselmeergebied Delta Schuitenbeek 2002")</f>
        <v>Geomorfologische- en vegetatiekartering IJsselmeergebied Delta Schuitenbeek 2002</v>
      </c>
      <c r="D1310" s="6" t="s">
        <v>17</v>
      </c>
      <c r="E1310" s="5" t="s">
        <v>18</v>
      </c>
      <c r="F1310" s="6" t="s">
        <v>813</v>
      </c>
      <c r="G1310" s="5" t="s">
        <v>807</v>
      </c>
      <c r="H1310" s="6" t="s">
        <v>20</v>
      </c>
      <c r="I1310" s="5" t="s">
        <v>21</v>
      </c>
      <c r="J1310" s="4" t="s">
        <v>22</v>
      </c>
      <c r="K1310" s="2" t="s">
        <v>23</v>
      </c>
      <c r="L1310" s="6" t="s">
        <v>24</v>
      </c>
      <c r="M1310" s="5" t="s">
        <v>25</v>
      </c>
      <c r="N1310" s="3" t="s">
        <v>26</v>
      </c>
      <c r="O1310" s="5">
        <v>2</v>
      </c>
      <c r="P1310" s="3" t="s">
        <v>23</v>
      </c>
      <c r="Q1310" s="5"/>
    </row>
    <row r="1311" spans="1:17" ht="62">
      <c r="A1311" s="5">
        <v>1306</v>
      </c>
      <c r="B1311" s="6" t="s">
        <v>16</v>
      </c>
      <c r="C1311" s="5" t="str">
        <f>HYPERLINK("http://data.overheid.nl/data/dataset/ahn1-100-meter-maaiveldraster","AHN1 100 meter maaiveldraster")</f>
        <v>AHN1 100 meter maaiveldraster</v>
      </c>
      <c r="D1311" s="6" t="s">
        <v>17</v>
      </c>
      <c r="E1311" s="5" t="s">
        <v>621</v>
      </c>
      <c r="F1311" s="6" t="s">
        <v>813</v>
      </c>
      <c r="G1311" s="5" t="s">
        <v>808</v>
      </c>
      <c r="H1311" s="6" t="s">
        <v>20</v>
      </c>
      <c r="I1311" s="5" t="s">
        <v>21</v>
      </c>
      <c r="J1311" s="4" t="s">
        <v>22</v>
      </c>
      <c r="K1311" s="2" t="s">
        <v>23</v>
      </c>
      <c r="L1311" s="6" t="s">
        <v>24</v>
      </c>
      <c r="M1311" s="5" t="s">
        <v>25</v>
      </c>
      <c r="N1311" s="3" t="s">
        <v>26</v>
      </c>
      <c r="O1311" s="5">
        <v>4</v>
      </c>
      <c r="P1311" s="3" t="s">
        <v>23</v>
      </c>
      <c r="Q1311" s="5"/>
    </row>
    <row r="1312" spans="1:17" ht="108.5">
      <c r="A1312" s="5">
        <v>1307</v>
      </c>
      <c r="B1312" s="6" t="s">
        <v>16</v>
      </c>
      <c r="C1312" s="5" t="str">
        <f>HYPERLINK("http://data.overheid.nl/data/dataset/tophoogtemd","TophoogteMD")</f>
        <v>TophoogteMD</v>
      </c>
      <c r="D1312" s="6" t="s">
        <v>17</v>
      </c>
      <c r="E1312" s="5" t="s">
        <v>18</v>
      </c>
      <c r="F1312" s="6" t="s">
        <v>813</v>
      </c>
      <c r="G1312" s="5" t="s">
        <v>809</v>
      </c>
      <c r="H1312" s="6" t="s">
        <v>20</v>
      </c>
      <c r="I1312" s="5" t="s">
        <v>21</v>
      </c>
      <c r="J1312" s="4" t="s">
        <v>22</v>
      </c>
      <c r="K1312" s="2" t="s">
        <v>23</v>
      </c>
      <c r="L1312" s="6" t="s">
        <v>24</v>
      </c>
      <c r="M1312" s="5" t="s">
        <v>25</v>
      </c>
      <c r="N1312" s="3" t="s">
        <v>26</v>
      </c>
      <c r="O1312" s="5">
        <v>2</v>
      </c>
      <c r="P1312" s="3" t="s">
        <v>23</v>
      </c>
      <c r="Q1312" s="5"/>
    </row>
    <row r="1313" spans="1:17" ht="31">
      <c r="A1313" s="5">
        <v>1308</v>
      </c>
      <c r="B1313" s="6" t="s">
        <v>16</v>
      </c>
      <c r="C1313" s="5" t="str">
        <f>HYPERLINK("http://data.overheid.nl/data/dataset/vrom-binnenduinlijn","VROM Binnenduinlijn")</f>
        <v>VROM Binnenduinlijn</v>
      </c>
      <c r="D1313" s="6" t="s">
        <v>17</v>
      </c>
      <c r="E1313" s="5" t="s">
        <v>18</v>
      </c>
      <c r="F1313" s="6" t="s">
        <v>813</v>
      </c>
      <c r="G1313" s="5" t="s">
        <v>810</v>
      </c>
      <c r="H1313" s="6" t="s">
        <v>20</v>
      </c>
      <c r="I1313" s="5" t="s">
        <v>21</v>
      </c>
      <c r="J1313" s="4" t="s">
        <v>22</v>
      </c>
      <c r="K1313" s="2" t="s">
        <v>23</v>
      </c>
      <c r="L1313" s="6" t="s">
        <v>24</v>
      </c>
      <c r="M1313" s="5" t="s">
        <v>25</v>
      </c>
      <c r="N1313" s="3" t="s">
        <v>26</v>
      </c>
      <c r="O1313" s="5">
        <v>2</v>
      </c>
      <c r="P1313" s="3" t="s">
        <v>23</v>
      </c>
      <c r="Q1313" s="5"/>
    </row>
    <row r="1314" spans="1:17" ht="31">
      <c r="A1314" s="5">
        <v>1309</v>
      </c>
      <c r="B1314" s="6" t="s">
        <v>16</v>
      </c>
      <c r="C1314" s="5" t="str">
        <f>HYPERLINK("http://data.overheid.nl/data/dataset/verwachte-waterstanden-en-afvoeren-rijkswaterstaat","Waterstanden en afvoeren verwacht - Rijkswaterstaat")</f>
        <v>Waterstanden en afvoeren verwacht - Rijkswaterstaat</v>
      </c>
      <c r="D1314" s="6" t="s">
        <v>17</v>
      </c>
      <c r="E1314" s="5" t="s">
        <v>18</v>
      </c>
      <c r="F1314" s="6" t="s">
        <v>813</v>
      </c>
      <c r="G1314" s="5" t="s">
        <v>193</v>
      </c>
      <c r="H1314" s="6" t="s">
        <v>20</v>
      </c>
      <c r="I1314" s="5" t="s">
        <v>21</v>
      </c>
      <c r="J1314" s="4" t="s">
        <v>22</v>
      </c>
      <c r="K1314" s="2" t="s">
        <v>23</v>
      </c>
      <c r="L1314" s="6" t="s">
        <v>24</v>
      </c>
      <c r="M1314" s="5" t="s">
        <v>25</v>
      </c>
      <c r="N1314" s="3" t="s">
        <v>26</v>
      </c>
      <c r="O1314" s="5">
        <v>1</v>
      </c>
      <c r="P1314" s="3" t="s">
        <v>23</v>
      </c>
      <c r="Q1314" s="5"/>
    </row>
    <row r="1315" spans="1:17" ht="62">
      <c r="A1315" s="5">
        <v>1310</v>
      </c>
      <c r="B1315" s="6" t="s">
        <v>16</v>
      </c>
      <c r="C1315" s="5" t="str">
        <f>HYPERLINK("http://data.overheid.nl/data/dataset/locaties-meetnet-water","Locaties Landelijk Meetnet Water - Rijkswaterstaat")</f>
        <v>Locaties Landelijk Meetnet Water - Rijkswaterstaat</v>
      </c>
      <c r="D1315" s="6" t="s">
        <v>17</v>
      </c>
      <c r="E1315" s="5" t="s">
        <v>18</v>
      </c>
      <c r="F1315" s="6" t="s">
        <v>813</v>
      </c>
      <c r="G1315" s="5" t="s">
        <v>811</v>
      </c>
      <c r="H1315" s="6" t="s">
        <v>20</v>
      </c>
      <c r="I1315" s="5" t="s">
        <v>21</v>
      </c>
      <c r="J1315" s="4" t="s">
        <v>22</v>
      </c>
      <c r="K1315" s="2" t="s">
        <v>23</v>
      </c>
      <c r="L1315" s="6" t="s">
        <v>24</v>
      </c>
      <c r="M1315" s="5" t="s">
        <v>25</v>
      </c>
      <c r="N1315" s="3" t="s">
        <v>26</v>
      </c>
      <c r="O1315" s="5">
        <v>4</v>
      </c>
      <c r="P1315" s="3" t="s">
        <v>23</v>
      </c>
      <c r="Q1315" s="5"/>
    </row>
    <row r="1316" spans="1:17" ht="46.5">
      <c r="A1316" s="5">
        <v>1311</v>
      </c>
      <c r="B1316" s="6" t="s">
        <v>16</v>
      </c>
      <c r="C1316" s="5" t="str">
        <f>HYPERLINK("http://data.overheid.nl/data/dataset/nationale-bewegwijzering-052016","Nationale bewegwijzering - 052016")</f>
        <v>Nationale bewegwijzering - 052016</v>
      </c>
      <c r="D1316" s="6" t="s">
        <v>17</v>
      </c>
      <c r="E1316" s="5" t="s">
        <v>18</v>
      </c>
      <c r="F1316" s="6" t="s">
        <v>813</v>
      </c>
      <c r="G1316" s="5" t="s">
        <v>812</v>
      </c>
      <c r="H1316" s="6" t="s">
        <v>20</v>
      </c>
      <c r="I1316" s="5" t="s">
        <v>21</v>
      </c>
      <c r="J1316" s="9" t="s">
        <v>305</v>
      </c>
      <c r="K1316" s="2" t="s">
        <v>23</v>
      </c>
      <c r="L1316" s="6" t="s">
        <v>24</v>
      </c>
      <c r="M1316" s="5" t="s">
        <v>25</v>
      </c>
      <c r="N1316" s="3" t="s">
        <v>26</v>
      </c>
      <c r="O1316" s="5">
        <v>1</v>
      </c>
      <c r="P1316" s="3" t="s">
        <v>23</v>
      </c>
      <c r="Q1316" s="5"/>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2017-01-19T10:52:13Z</dcterms:created>
  <dcterms:modified xsi:type="dcterms:W3CDTF">2017-06-09T09:53:31Z</dcterms:modified>
</cp:coreProperties>
</file>